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425" yWindow="65446" windowWidth="12120" windowHeight="9120" activeTab="0"/>
  </bookViews>
  <sheets>
    <sheet name="CABLEPOW" sheetId="1" r:id="rId1"/>
  </sheets>
  <definedNames>
    <definedName name="OHMSPEZ">'CABLEPOW'!$A$2</definedName>
  </definedNames>
  <calcPr fullCalcOnLoad="1"/>
</workbook>
</file>

<file path=xl/sharedStrings.xml><?xml version="1.0" encoding="utf-8"?>
<sst xmlns="http://schemas.openxmlformats.org/spreadsheetml/2006/main" count="165" uniqueCount="61">
  <si>
    <t>Ohm_m_qmm</t>
  </si>
  <si>
    <t>Max_Verlust_%</t>
  </si>
  <si>
    <t>Powertool</t>
  </si>
  <si>
    <t>www.ifbsoft.de</t>
  </si>
  <si>
    <t>100 Volt-Systems</t>
  </si>
  <si>
    <t>AWG</t>
  </si>
  <si>
    <t>Diameter mm</t>
  </si>
  <si>
    <t>Sect. Area mm²</t>
  </si>
  <si>
    <t>Input-Data</t>
  </si>
  <si>
    <t>Output-Data</t>
  </si>
  <si>
    <t>Dimensions and Units</t>
  </si>
  <si>
    <t>Amp-Power at 100V (W)</t>
  </si>
  <si>
    <t>Load Resistance (Ohms)</t>
  </si>
  <si>
    <t>Power</t>
  </si>
  <si>
    <t>Watts</t>
  </si>
  <si>
    <t>W</t>
  </si>
  <si>
    <t>Wire Gauge(qmm)</t>
  </si>
  <si>
    <t>Wiring-Resistance (Ohms)</t>
  </si>
  <si>
    <t>Resistance</t>
  </si>
  <si>
    <t>Ohms</t>
  </si>
  <si>
    <t>Wiring-Length (m)</t>
  </si>
  <si>
    <t>Available Amplifier Power (W)</t>
  </si>
  <si>
    <t>Wire Gauge</t>
  </si>
  <si>
    <t>square millimeters</t>
  </si>
  <si>
    <t>qmm</t>
  </si>
  <si>
    <t>Wiring Loss (W)</t>
  </si>
  <si>
    <t>Length</t>
  </si>
  <si>
    <t>meters</t>
  </si>
  <si>
    <t>m</t>
  </si>
  <si>
    <t>Wiring-Length (ft) info, no input</t>
  </si>
  <si>
    <t>Available Power (W)</t>
  </si>
  <si>
    <t>Loss, total</t>
  </si>
  <si>
    <t>Pout/Pin</t>
  </si>
  <si>
    <t>%</t>
  </si>
  <si>
    <t>LossTotal (%)</t>
  </si>
  <si>
    <t>Loss, dB</t>
  </si>
  <si>
    <t>10log(Pout/Pin)</t>
  </si>
  <si>
    <t>dB</t>
  </si>
  <si>
    <t>AWG info, no input</t>
  </si>
  <si>
    <t>Loss (dB)</t>
  </si>
  <si>
    <t>AWG-Conversion Range is 1-30 !</t>
  </si>
  <si>
    <t>Damping Factor max.</t>
  </si>
  <si>
    <t>Lenght  conversion feet = meters *3,28</t>
  </si>
  <si>
    <t>Minimum &amp; Maximum, metric</t>
  </si>
  <si>
    <t>Minimum &amp; Maximum, Imperial</t>
  </si>
  <si>
    <t xml:space="preserve">Powertool will calculate total Conductor  </t>
  </si>
  <si>
    <t>Min. Wire Gauge f. Length &amp; Power (qmm)</t>
  </si>
  <si>
    <t>Min. Wire Gauge f. Length &amp; Power (AWG)</t>
  </si>
  <si>
    <t>Length = Double(Wiring Length)!</t>
  </si>
  <si>
    <t>Max. Length f. Power &amp; Wire Gauge (m)</t>
  </si>
  <si>
    <t>Max. Length f. Power &amp; Wire Gauge (ft)</t>
  </si>
  <si>
    <t>Max. Power f. Wire Gauge &amp; Length (W)</t>
  </si>
  <si>
    <t>70,7 Volt-System</t>
  </si>
  <si>
    <t>Amp-Power at 70 V (W)</t>
  </si>
  <si>
    <t>Load Resistance (Ohm)</t>
  </si>
  <si>
    <t>Minimum &amp; Maximum</t>
  </si>
  <si>
    <t>Low-Z-Systems</t>
  </si>
  <si>
    <t>Load Impedance(Ohms)</t>
  </si>
  <si>
    <t>Amp-Power at Load Imped.(W)</t>
  </si>
  <si>
    <t>Min. Imped f. Wire Gauge &amp; Length (Ohms)</t>
  </si>
  <si>
    <t>V 1.2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</si>
</sst>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DM&quot;#,##0;\-&quot;DM&quot;#,##0"/>
    <numFmt numFmtId="165" formatCode="&quot;DM&quot;#,##0;[Red]\-&quot;DM&quot;#,##0"/>
    <numFmt numFmtId="166" formatCode="&quot;DM&quot;#,##0.00;\-&quot;DM&quot;#,##0.00"/>
    <numFmt numFmtId="167" formatCode="&quot;DM&quot;#,##0.00;[Red]\-&quot;DM&quot;#,##0.00"/>
    <numFmt numFmtId="168" formatCode="_-&quot;DM&quot;* #,##0_-;\-&quot;DM&quot;* #,##0_-;_-&quot;DM&quot;* &quot;-&quot;_-;_-@_-"/>
    <numFmt numFmtId="169" formatCode="_-* #,##0_-;\-* #,##0_-;_-* &quot;-&quot;_-;_-@_-"/>
    <numFmt numFmtId="170" formatCode="_-&quot;DM&quot;* #,##0.00_-;\-&quot;DM&quot;* #,##0.00_-;_-&quot;DM&quot;* &quot;-&quot;??_-;_-@_-"/>
    <numFmt numFmtId="171" formatCode="_-* #,##0.00_-;\-* #,##0.00_-;_-* &quot;-&quot;??_-;_-@_-"/>
    <numFmt numFmtId="172" formatCode="#,##0.0"/>
    <numFmt numFmtId="173" formatCode="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MS Sans Serif"/>
      <family val="0"/>
    </font>
    <font>
      <b/>
      <sz val="24"/>
      <name val="MS Sans Serif"/>
      <family val="2"/>
    </font>
    <font>
      <sz val="10"/>
      <color indexed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 locked="0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 locked="0"/>
    </xf>
    <xf numFmtId="0" fontId="1" fillId="3" borderId="1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2" fontId="1" fillId="3" borderId="2" xfId="0" applyNumberFormat="1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2" fontId="1" fillId="3" borderId="4" xfId="0" applyNumberFormat="1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2" fontId="1" fillId="3" borderId="6" xfId="0" applyNumberFormat="1" applyFon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1" fillId="4" borderId="7" xfId="0" applyFont="1" applyFill="1" applyBorder="1" applyAlignment="1" applyProtection="1">
      <alignment/>
      <protection hidden="1"/>
    </xf>
    <xf numFmtId="0" fontId="6" fillId="4" borderId="9" xfId="0" applyFont="1" applyFill="1" applyBorder="1" applyAlignment="1" applyProtection="1">
      <alignment/>
      <protection hidden="1"/>
    </xf>
    <xf numFmtId="0" fontId="6" fillId="4" borderId="14" xfId="0" applyFont="1" applyFill="1" applyBorder="1" applyAlignment="1" applyProtection="1">
      <alignment/>
      <protection hidden="1"/>
    </xf>
    <xf numFmtId="0" fontId="0" fillId="5" borderId="17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6" fillId="4" borderId="16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/>
      <protection hidden="1"/>
    </xf>
    <xf numFmtId="1" fontId="0" fillId="5" borderId="8" xfId="0" applyNumberFormat="1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6" fillId="5" borderId="14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5" fillId="4" borderId="12" xfId="0" applyFont="1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4" borderId="9" xfId="0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1" fontId="1" fillId="5" borderId="8" xfId="0" applyNumberFormat="1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1" fillId="5" borderId="8" xfId="0" applyFont="1" applyFill="1" applyBorder="1" applyAlignment="1" applyProtection="1">
      <alignment/>
      <protection hidden="1"/>
    </xf>
    <xf numFmtId="173" fontId="0" fillId="5" borderId="16" xfId="0" applyNumberForma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6" fillId="5" borderId="8" xfId="0" applyFont="1" applyFill="1" applyBorder="1" applyAlignment="1" applyProtection="1">
      <alignment/>
      <protection hidden="1"/>
    </xf>
    <xf numFmtId="0" fontId="1" fillId="5" borderId="17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 horizontal="right"/>
      <protection hidden="1"/>
    </xf>
    <xf numFmtId="2" fontId="4" fillId="3" borderId="4" xfId="0" applyNumberFormat="1" applyFont="1" applyFill="1" applyBorder="1" applyAlignment="1" applyProtection="1">
      <alignment/>
      <protection hidden="1"/>
    </xf>
    <xf numFmtId="0" fontId="1" fillId="3" borderId="17" xfId="0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5" borderId="17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/>
      <protection hidden="1"/>
    </xf>
    <xf numFmtId="0" fontId="0" fillId="5" borderId="15" xfId="0" applyFill="1" applyBorder="1" applyAlignment="1" applyProtection="1">
      <alignment/>
      <protection hidden="1"/>
    </xf>
    <xf numFmtId="1" fontId="0" fillId="5" borderId="16" xfId="0" applyNumberFormat="1" applyFill="1" applyBorder="1" applyAlignment="1" applyProtection="1">
      <alignment/>
      <protection hidden="1"/>
    </xf>
    <xf numFmtId="3" fontId="1" fillId="5" borderId="13" xfId="0" applyNumberFormat="1" applyFont="1" applyFill="1" applyBorder="1" applyAlignment="1" applyProtection="1">
      <alignment/>
      <protection hidden="1"/>
    </xf>
    <xf numFmtId="2" fontId="1" fillId="5" borderId="15" xfId="0" applyNumberFormat="1" applyFont="1" applyFill="1" applyBorder="1" applyAlignment="1" applyProtection="1">
      <alignment/>
      <protection hidden="1"/>
    </xf>
    <xf numFmtId="0" fontId="1" fillId="5" borderId="13" xfId="0" applyFont="1" applyFill="1" applyBorder="1" applyAlignment="1" applyProtection="1">
      <alignment/>
      <protection hidden="1"/>
    </xf>
    <xf numFmtId="1" fontId="1" fillId="5" borderId="16" xfId="0" applyNumberFormat="1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2" fontId="0" fillId="4" borderId="12" xfId="0" applyNumberForma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 locked="0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 locked="0"/>
    </xf>
    <xf numFmtId="0" fontId="0" fillId="2" borderId="14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 locked="0"/>
    </xf>
    <xf numFmtId="0" fontId="5" fillId="4" borderId="0" xfId="0" applyFont="1" applyFill="1" applyBorder="1" applyAlignment="1" applyProtection="1" quotePrefix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1885950</xdr:colOff>
      <xdr:row>3</xdr:row>
      <xdr:rowOff>57150</xdr:rowOff>
    </xdr:from>
    <xdr:to>
      <xdr:col>4</xdr:col>
      <xdr:colOff>657225</xdr:colOff>
      <xdr:row>6</xdr:row>
      <xdr:rowOff>381000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2860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workbookViewId="0" topLeftCell="A3">
      <selection activeCell="B8" sqref="B8"/>
    </sheetView>
  </sheetViews>
  <sheetFormatPr defaultColWidth="11.421875" defaultRowHeight="12.75"/>
  <cols>
    <col min="1" max="1" width="28.00390625" style="1" customWidth="1"/>
    <col min="2" max="2" width="12.140625" style="3" customWidth="1"/>
    <col min="3" max="3" width="1.421875" style="1" customWidth="1"/>
    <col min="4" max="4" width="37.00390625" style="1" customWidth="1"/>
    <col min="5" max="5" width="10.00390625" style="1" customWidth="1"/>
    <col min="6" max="6" width="2.421875" style="3" customWidth="1"/>
    <col min="7" max="7" width="11.421875" style="3" customWidth="1"/>
    <col min="8" max="8" width="17.00390625" style="3" customWidth="1"/>
    <col min="9" max="9" width="11.421875" style="3" customWidth="1"/>
    <col min="10" max="10" width="8.140625" style="3" customWidth="1"/>
    <col min="11" max="12" width="11.421875" style="3" customWidth="1"/>
    <col min="13" max="13" width="12.00390625" style="3" customWidth="1"/>
    <col min="14" max="14" width="14.140625" style="3" customWidth="1"/>
    <col min="15" max="15" width="15.421875" style="3" customWidth="1"/>
    <col min="16" max="16384" width="11.421875" style="3" customWidth="1"/>
  </cols>
  <sheetData>
    <row r="1" spans="1:24" ht="12.75" hidden="1">
      <c r="A1" s="1" t="s">
        <v>0</v>
      </c>
      <c r="B1" s="1"/>
      <c r="D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hidden="1">
      <c r="A2" s="1">
        <f>19/1000</f>
        <v>0.019</v>
      </c>
      <c r="B2" s="1"/>
      <c r="D2" s="1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31" ht="13.5" thickBot="1">
      <c r="B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23"/>
      <c r="B4" s="24"/>
      <c r="C4" s="24"/>
      <c r="D4" s="24"/>
      <c r="E4" s="24"/>
      <c r="F4" s="24"/>
      <c r="G4" s="24"/>
      <c r="H4" s="24"/>
      <c r="I4" s="24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26"/>
      <c r="B5" s="27"/>
      <c r="C5" s="27"/>
      <c r="D5" s="27"/>
      <c r="E5" s="27"/>
      <c r="F5" s="27"/>
      <c r="G5" s="27"/>
      <c r="H5" s="27"/>
      <c r="I5" s="27"/>
      <c r="J5" s="2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26"/>
      <c r="B6" s="27"/>
      <c r="C6" s="27"/>
      <c r="D6" s="27"/>
      <c r="E6" s="27"/>
      <c r="F6" s="27"/>
      <c r="G6" s="27"/>
      <c r="H6" s="27"/>
      <c r="I6" s="27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0.75">
      <c r="A7" s="46" t="s">
        <v>2</v>
      </c>
      <c r="B7" s="89" t="s">
        <v>60</v>
      </c>
      <c r="C7" s="27"/>
      <c r="D7" s="27"/>
      <c r="E7" s="27"/>
      <c r="F7" s="27"/>
      <c r="G7" s="80" t="s">
        <v>3</v>
      </c>
      <c r="H7" s="81"/>
      <c r="I7" s="27"/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3.5" thickBot="1">
      <c r="A8" s="29"/>
      <c r="B8" s="30"/>
      <c r="C8" s="30"/>
      <c r="D8" s="30"/>
      <c r="E8" s="30"/>
      <c r="F8" s="30"/>
      <c r="G8" s="30"/>
      <c r="H8" s="30"/>
      <c r="I8" s="30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3.5" thickBot="1">
      <c r="A9" s="5"/>
      <c r="B9" s="1"/>
      <c r="F9" s="1"/>
      <c r="G9" s="1"/>
      <c r="H9" s="1"/>
      <c r="I9" s="1"/>
      <c r="J9" s="4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thickBot="1">
      <c r="A10" s="32"/>
      <c r="B10" s="21"/>
      <c r="C10" s="33" t="s">
        <v>4</v>
      </c>
      <c r="D10" s="21"/>
      <c r="E10" s="22"/>
      <c r="F10" s="32"/>
      <c r="G10" s="21"/>
      <c r="H10" s="33" t="s">
        <v>4</v>
      </c>
      <c r="I10" s="21"/>
      <c r="J10" s="48"/>
      <c r="K10" s="1"/>
      <c r="L10" s="32" t="s">
        <v>5</v>
      </c>
      <c r="M10" s="21" t="s">
        <v>6</v>
      </c>
      <c r="N10" s="22" t="s">
        <v>7</v>
      </c>
      <c r="O10" s="23"/>
      <c r="P10" s="24"/>
      <c r="Q10" s="24"/>
      <c r="R10" s="25"/>
      <c r="S10" s="1"/>
      <c r="T10" s="23"/>
      <c r="U10" s="24"/>
      <c r="V10" s="24"/>
      <c r="W10" s="25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"/>
      <c r="B11" s="2"/>
      <c r="C11" s="4"/>
      <c r="D11" s="2"/>
      <c r="E11" s="2"/>
      <c r="F11" s="1"/>
      <c r="G11" s="1"/>
      <c r="H11" s="1"/>
      <c r="I11" s="49"/>
      <c r="J11" s="48"/>
      <c r="K11" s="1"/>
      <c r="L11" s="26">
        <v>1</v>
      </c>
      <c r="M11" s="27">
        <v>7.35</v>
      </c>
      <c r="N11" s="28">
        <v>42.4</v>
      </c>
      <c r="O11" s="26">
        <f>B15</f>
        <v>1</v>
      </c>
      <c r="P11" s="27">
        <f>IF(O11&gt;N11,L11,0)</f>
        <v>0</v>
      </c>
      <c r="Q11" s="27">
        <f>IF(O11&gt;N12,0,L11)</f>
        <v>1</v>
      </c>
      <c r="R11" s="28">
        <f>IF((P11+Q11)=0,L11,0)</f>
        <v>0</v>
      </c>
      <c r="S11" s="1"/>
      <c r="T11" s="82">
        <f>$E$23</f>
        <v>0.7024996532591946</v>
      </c>
      <c r="U11" s="27">
        <f>IF((T11&gt;N11),L11,0)</f>
        <v>0</v>
      </c>
      <c r="V11" s="27">
        <f>IF((T11&gt;N12),0,L11)</f>
        <v>1</v>
      </c>
      <c r="W11" s="28">
        <f>IF((U11+V11)=0,L11,0)</f>
        <v>0</v>
      </c>
      <c r="X11" s="1"/>
      <c r="Y11" s="1"/>
      <c r="Z11" s="1"/>
      <c r="AA11" s="1"/>
      <c r="AB11" s="1"/>
      <c r="AC11" s="1"/>
      <c r="AD11" s="1"/>
      <c r="AE11" s="1"/>
    </row>
    <row r="12" spans="1:31" ht="13.5" thickBot="1">
      <c r="A12" s="2"/>
      <c r="B12" s="2"/>
      <c r="C12" s="4"/>
      <c r="D12" s="2"/>
      <c r="E12" s="2"/>
      <c r="F12" s="1"/>
      <c r="G12" s="1"/>
      <c r="H12" s="1"/>
      <c r="I12" s="1"/>
      <c r="J12" s="48"/>
      <c r="K12" s="1"/>
      <c r="L12" s="26">
        <v>2</v>
      </c>
      <c r="M12" s="27">
        <v>6.54</v>
      </c>
      <c r="N12" s="28">
        <v>33.6</v>
      </c>
      <c r="O12" s="26">
        <f>B15</f>
        <v>1</v>
      </c>
      <c r="P12" s="27">
        <f aca="true" t="shared" si="0" ref="P12:P40">IF(O12&gt;N12,L12,0)</f>
        <v>0</v>
      </c>
      <c r="Q12" s="27">
        <f aca="true" t="shared" si="1" ref="Q12:Q40">IF(O12&gt;N13,0,L12)</f>
        <v>2</v>
      </c>
      <c r="R12" s="28">
        <f aca="true" t="shared" si="2" ref="R12:R40">IF((P12+Q12)=0,L12,0)</f>
        <v>0</v>
      </c>
      <c r="S12" s="1"/>
      <c r="T12" s="82">
        <f aca="true" t="shared" si="3" ref="T12:T40">$E$23</f>
        <v>0.7024996532591946</v>
      </c>
      <c r="U12" s="27">
        <f aca="true" t="shared" si="4" ref="U12:U40">IF((T12&gt;N12),L12,0)</f>
        <v>0</v>
      </c>
      <c r="V12" s="27">
        <f aca="true" t="shared" si="5" ref="V12:V40">IF((T12&gt;N13),0,L12)</f>
        <v>2</v>
      </c>
      <c r="W12" s="28">
        <f aca="true" t="shared" si="6" ref="W12:W40">IF((U12+V12)=0,L12,0)</f>
        <v>0</v>
      </c>
      <c r="X12" s="1"/>
      <c r="Y12" s="1"/>
      <c r="Z12" s="1"/>
      <c r="AA12" s="1"/>
      <c r="AB12" s="1"/>
      <c r="AC12" s="1"/>
      <c r="AD12" s="1"/>
      <c r="AE12" s="1"/>
    </row>
    <row r="13" spans="1:31" ht="14.25" thickBot="1" thickTop="1">
      <c r="A13" s="6" t="s">
        <v>8</v>
      </c>
      <c r="B13" s="45"/>
      <c r="D13" s="13" t="s">
        <v>9</v>
      </c>
      <c r="E13" s="14"/>
      <c r="F13" s="1"/>
      <c r="G13" s="50" t="s">
        <v>10</v>
      </c>
      <c r="H13" s="51"/>
      <c r="I13" s="24"/>
      <c r="J13" s="48"/>
      <c r="K13" s="1"/>
      <c r="L13" s="26">
        <v>3</v>
      </c>
      <c r="M13" s="27">
        <v>5.82</v>
      </c>
      <c r="N13" s="28">
        <v>26.6</v>
      </c>
      <c r="O13" s="26">
        <f>B15</f>
        <v>1</v>
      </c>
      <c r="P13" s="27">
        <f t="shared" si="0"/>
        <v>0</v>
      </c>
      <c r="Q13" s="27">
        <f t="shared" si="1"/>
        <v>3</v>
      </c>
      <c r="R13" s="28">
        <f t="shared" si="2"/>
        <v>0</v>
      </c>
      <c r="S13" s="1"/>
      <c r="T13" s="82">
        <f t="shared" si="3"/>
        <v>0.7024996532591946</v>
      </c>
      <c r="U13" s="27">
        <f t="shared" si="4"/>
        <v>0</v>
      </c>
      <c r="V13" s="27">
        <f t="shared" si="5"/>
        <v>3</v>
      </c>
      <c r="W13" s="28">
        <f t="shared" si="6"/>
        <v>0</v>
      </c>
      <c r="X13" s="1"/>
      <c r="Y13" s="1"/>
      <c r="Z13" s="1"/>
      <c r="AA13" s="1"/>
      <c r="AB13" s="1"/>
      <c r="AC13" s="1"/>
      <c r="AD13" s="1"/>
      <c r="AE13" s="1"/>
    </row>
    <row r="14" spans="1:31" ht="13.5" thickTop="1">
      <c r="A14" s="8" t="s">
        <v>11</v>
      </c>
      <c r="B14" s="7">
        <v>200</v>
      </c>
      <c r="D14" s="15" t="s">
        <v>12</v>
      </c>
      <c r="E14" s="16">
        <f>10000/B14</f>
        <v>50</v>
      </c>
      <c r="F14" s="1"/>
      <c r="G14" s="52" t="s">
        <v>13</v>
      </c>
      <c r="H14" s="53" t="s">
        <v>14</v>
      </c>
      <c r="I14" s="24" t="s">
        <v>15</v>
      </c>
      <c r="J14" s="48"/>
      <c r="K14" s="1"/>
      <c r="L14" s="26">
        <v>4</v>
      </c>
      <c r="M14" s="27">
        <v>5.19</v>
      </c>
      <c r="N14" s="28">
        <v>21.2</v>
      </c>
      <c r="O14" s="26">
        <f>B15</f>
        <v>1</v>
      </c>
      <c r="P14" s="27">
        <f t="shared" si="0"/>
        <v>0</v>
      </c>
      <c r="Q14" s="27">
        <f t="shared" si="1"/>
        <v>4</v>
      </c>
      <c r="R14" s="28">
        <f t="shared" si="2"/>
        <v>0</v>
      </c>
      <c r="S14" s="1"/>
      <c r="T14" s="82">
        <f t="shared" si="3"/>
        <v>0.7024996532591946</v>
      </c>
      <c r="U14" s="27">
        <f t="shared" si="4"/>
        <v>0</v>
      </c>
      <c r="V14" s="27">
        <f t="shared" si="5"/>
        <v>4</v>
      </c>
      <c r="W14" s="28">
        <f t="shared" si="6"/>
        <v>0</v>
      </c>
      <c r="X14" s="1"/>
      <c r="Y14" s="1"/>
      <c r="Z14" s="1"/>
      <c r="AA14" s="1"/>
      <c r="AB14" s="1"/>
      <c r="AC14" s="1"/>
      <c r="AD14" s="1"/>
      <c r="AE14" s="1"/>
    </row>
    <row r="15" spans="1:31" ht="12.75">
      <c r="A15" s="9" t="s">
        <v>16</v>
      </c>
      <c r="B15" s="10">
        <v>1</v>
      </c>
      <c r="D15" s="17" t="s">
        <v>17</v>
      </c>
      <c r="E15" s="18">
        <f>2*B16*(OHMSPEZ/B15)</f>
        <v>1.9</v>
      </c>
      <c r="F15" s="1"/>
      <c r="G15" s="54" t="s">
        <v>18</v>
      </c>
      <c r="H15" s="55" t="s">
        <v>19</v>
      </c>
      <c r="I15" s="27" t="s">
        <v>19</v>
      </c>
      <c r="J15" s="48"/>
      <c r="K15" s="1"/>
      <c r="L15" s="26">
        <v>5</v>
      </c>
      <c r="M15" s="27">
        <v>4.62</v>
      </c>
      <c r="N15" s="28">
        <v>16.8</v>
      </c>
      <c r="O15" s="26">
        <f>B15</f>
        <v>1</v>
      </c>
      <c r="P15" s="27">
        <f t="shared" si="0"/>
        <v>0</v>
      </c>
      <c r="Q15" s="27">
        <f t="shared" si="1"/>
        <v>5</v>
      </c>
      <c r="R15" s="28">
        <f t="shared" si="2"/>
        <v>0</v>
      </c>
      <c r="S15" s="1"/>
      <c r="T15" s="82">
        <f t="shared" si="3"/>
        <v>0.7024996532591946</v>
      </c>
      <c r="U15" s="27">
        <f t="shared" si="4"/>
        <v>0</v>
      </c>
      <c r="V15" s="27">
        <f t="shared" si="5"/>
        <v>5</v>
      </c>
      <c r="W15" s="28">
        <f t="shared" si="6"/>
        <v>0</v>
      </c>
      <c r="X15" s="1"/>
      <c r="Y15" s="1"/>
      <c r="Z15" s="1"/>
      <c r="AA15" s="1"/>
      <c r="AB15" s="1"/>
      <c r="AC15" s="1"/>
      <c r="AD15" s="1"/>
      <c r="AE15" s="1"/>
    </row>
    <row r="16" spans="1:31" ht="13.5" thickBot="1">
      <c r="A16" s="11" t="s">
        <v>20</v>
      </c>
      <c r="B16" s="12">
        <v>50</v>
      </c>
      <c r="D16" s="17" t="s">
        <v>21</v>
      </c>
      <c r="E16" s="18">
        <f>10000/(E15+E14)</f>
        <v>192.67822736030828</v>
      </c>
      <c r="F16" s="1"/>
      <c r="G16" s="54" t="s">
        <v>22</v>
      </c>
      <c r="H16" s="55" t="s">
        <v>23</v>
      </c>
      <c r="I16" s="27" t="s">
        <v>24</v>
      </c>
      <c r="J16" s="48"/>
      <c r="K16" s="1"/>
      <c r="L16" s="26">
        <v>6</v>
      </c>
      <c r="M16" s="27">
        <v>4.11</v>
      </c>
      <c r="N16" s="28">
        <v>13.3</v>
      </c>
      <c r="O16" s="26">
        <f>B15</f>
        <v>1</v>
      </c>
      <c r="P16" s="27">
        <f t="shared" si="0"/>
        <v>0</v>
      </c>
      <c r="Q16" s="27">
        <f t="shared" si="1"/>
        <v>6</v>
      </c>
      <c r="R16" s="28">
        <f t="shared" si="2"/>
        <v>0</v>
      </c>
      <c r="S16" s="1"/>
      <c r="T16" s="82">
        <f t="shared" si="3"/>
        <v>0.7024996532591946</v>
      </c>
      <c r="U16" s="27">
        <f t="shared" si="4"/>
        <v>0</v>
      </c>
      <c r="V16" s="27">
        <f t="shared" si="5"/>
        <v>6</v>
      </c>
      <c r="W16" s="28">
        <f t="shared" si="6"/>
        <v>0</v>
      </c>
      <c r="X16" s="1"/>
      <c r="Y16" s="1"/>
      <c r="Z16" s="1"/>
      <c r="AA16" s="1"/>
      <c r="AB16" s="1"/>
      <c r="AC16" s="1"/>
      <c r="AD16" s="1"/>
      <c r="AE16" s="1"/>
    </row>
    <row r="17" spans="2:31" ht="14.25" thickBot="1" thickTop="1">
      <c r="B17" s="1"/>
      <c r="D17" s="17" t="s">
        <v>25</v>
      </c>
      <c r="E17" s="18">
        <f>E16-E18</f>
        <v>7.053730866754989</v>
      </c>
      <c r="F17" s="1"/>
      <c r="G17" s="54" t="s">
        <v>26</v>
      </c>
      <c r="H17" s="55" t="s">
        <v>27</v>
      </c>
      <c r="I17" s="27" t="s">
        <v>28</v>
      </c>
      <c r="J17" s="48"/>
      <c r="K17" s="1"/>
      <c r="L17" s="26">
        <v>7</v>
      </c>
      <c r="M17" s="27">
        <v>3.67</v>
      </c>
      <c r="N17" s="28">
        <v>10.6</v>
      </c>
      <c r="O17" s="26">
        <f>B15</f>
        <v>1</v>
      </c>
      <c r="P17" s="27">
        <f t="shared" si="0"/>
        <v>0</v>
      </c>
      <c r="Q17" s="27">
        <f t="shared" si="1"/>
        <v>7</v>
      </c>
      <c r="R17" s="28">
        <f t="shared" si="2"/>
        <v>0</v>
      </c>
      <c r="S17" s="1"/>
      <c r="T17" s="82">
        <f t="shared" si="3"/>
        <v>0.7024996532591946</v>
      </c>
      <c r="U17" s="27">
        <f t="shared" si="4"/>
        <v>0</v>
      </c>
      <c r="V17" s="27">
        <f t="shared" si="5"/>
        <v>7</v>
      </c>
      <c r="W17" s="28">
        <f t="shared" si="6"/>
        <v>0</v>
      </c>
      <c r="X17" s="1"/>
      <c r="Y17" s="1"/>
      <c r="Z17" s="1"/>
      <c r="AA17" s="1"/>
      <c r="AB17" s="1"/>
      <c r="AC17" s="1"/>
      <c r="AD17" s="1"/>
      <c r="AE17" s="1"/>
    </row>
    <row r="18" spans="1:31" ht="13.5" thickBot="1">
      <c r="A18" s="36" t="s">
        <v>29</v>
      </c>
      <c r="B18" s="56">
        <f>3.28*B16</f>
        <v>164</v>
      </c>
      <c r="D18" s="17" t="s">
        <v>30</v>
      </c>
      <c r="E18" s="18">
        <f>E14*10000/(E14+E15)^2</f>
        <v>185.6244964935533</v>
      </c>
      <c r="F18" s="1"/>
      <c r="G18" s="54" t="s">
        <v>31</v>
      </c>
      <c r="H18" s="55" t="s">
        <v>32</v>
      </c>
      <c r="I18" s="27" t="s">
        <v>33</v>
      </c>
      <c r="J18" s="48"/>
      <c r="K18" s="1"/>
      <c r="L18" s="26">
        <v>8</v>
      </c>
      <c r="M18" s="27">
        <v>3.26</v>
      </c>
      <c r="N18" s="28">
        <v>8.35</v>
      </c>
      <c r="O18" s="26">
        <f>B15</f>
        <v>1</v>
      </c>
      <c r="P18" s="27">
        <f t="shared" si="0"/>
        <v>0</v>
      </c>
      <c r="Q18" s="27">
        <f t="shared" si="1"/>
        <v>8</v>
      </c>
      <c r="R18" s="28">
        <f t="shared" si="2"/>
        <v>0</v>
      </c>
      <c r="S18" s="1"/>
      <c r="T18" s="82">
        <f t="shared" si="3"/>
        <v>0.7024996532591946</v>
      </c>
      <c r="U18" s="27">
        <f t="shared" si="4"/>
        <v>0</v>
      </c>
      <c r="V18" s="27">
        <f t="shared" si="5"/>
        <v>8</v>
      </c>
      <c r="W18" s="28">
        <f t="shared" si="6"/>
        <v>0</v>
      </c>
      <c r="X18" s="1"/>
      <c r="Y18" s="1"/>
      <c r="Z18" s="1"/>
      <c r="AA18" s="1"/>
      <c r="AB18" s="1"/>
      <c r="AC18" s="1"/>
      <c r="AD18" s="1"/>
      <c r="AE18" s="1"/>
    </row>
    <row r="19" spans="1:31" ht="13.5" thickBot="1">
      <c r="A19" s="44"/>
      <c r="B19" s="57"/>
      <c r="D19" s="17" t="s">
        <v>34</v>
      </c>
      <c r="E19" s="18">
        <f>100*(1-E18/B14)</f>
        <v>7.187751753223348</v>
      </c>
      <c r="F19" s="1"/>
      <c r="G19" s="58" t="s">
        <v>35</v>
      </c>
      <c r="H19" s="59" t="s">
        <v>36</v>
      </c>
      <c r="I19" s="30" t="s">
        <v>37</v>
      </c>
      <c r="J19" s="48"/>
      <c r="K19" s="1"/>
      <c r="L19" s="26">
        <v>9</v>
      </c>
      <c r="M19" s="27">
        <v>2.91</v>
      </c>
      <c r="N19" s="28">
        <v>6.62</v>
      </c>
      <c r="O19" s="26">
        <f>B15</f>
        <v>1</v>
      </c>
      <c r="P19" s="27">
        <f t="shared" si="0"/>
        <v>0</v>
      </c>
      <c r="Q19" s="27">
        <f t="shared" si="1"/>
        <v>9</v>
      </c>
      <c r="R19" s="28">
        <f t="shared" si="2"/>
        <v>0</v>
      </c>
      <c r="S19" s="1"/>
      <c r="T19" s="82">
        <f t="shared" si="3"/>
        <v>0.7024996532591946</v>
      </c>
      <c r="U19" s="27">
        <f t="shared" si="4"/>
        <v>0</v>
      </c>
      <c r="V19" s="27">
        <f t="shared" si="5"/>
        <v>9</v>
      </c>
      <c r="W19" s="28">
        <f t="shared" si="6"/>
        <v>0</v>
      </c>
      <c r="X19" s="1"/>
      <c r="Y19" s="1"/>
      <c r="Z19" s="1"/>
      <c r="AA19" s="1"/>
      <c r="AB19" s="1"/>
      <c r="AC19" s="1"/>
      <c r="AD19" s="1"/>
      <c r="AE19" s="1"/>
    </row>
    <row r="20" spans="1:31" ht="13.5" thickBot="1">
      <c r="A20" s="36" t="s">
        <v>38</v>
      </c>
      <c r="B20" s="60">
        <f>R42</f>
        <v>17</v>
      </c>
      <c r="D20" s="17" t="s">
        <v>39</v>
      </c>
      <c r="E20" s="18">
        <f>10*LOG(E18/B14)</f>
        <v>-0.32394707024878</v>
      </c>
      <c r="F20" s="1"/>
      <c r="G20" s="1"/>
      <c r="H20" s="1"/>
      <c r="I20" s="1"/>
      <c r="J20" s="48"/>
      <c r="K20" s="1"/>
      <c r="L20" s="26">
        <v>10</v>
      </c>
      <c r="M20" s="27">
        <v>2.59</v>
      </c>
      <c r="N20" s="28">
        <v>5.27</v>
      </c>
      <c r="O20" s="26">
        <f>B15</f>
        <v>1</v>
      </c>
      <c r="P20" s="27">
        <f t="shared" si="0"/>
        <v>0</v>
      </c>
      <c r="Q20" s="27">
        <f t="shared" si="1"/>
        <v>10</v>
      </c>
      <c r="R20" s="28">
        <f t="shared" si="2"/>
        <v>0</v>
      </c>
      <c r="S20" s="1"/>
      <c r="T20" s="82">
        <f t="shared" si="3"/>
        <v>0.7024996532591946</v>
      </c>
      <c r="U20" s="27">
        <f t="shared" si="4"/>
        <v>0</v>
      </c>
      <c r="V20" s="27">
        <f t="shared" si="5"/>
        <v>10</v>
      </c>
      <c r="W20" s="28">
        <f t="shared" si="6"/>
        <v>0</v>
      </c>
      <c r="X20" s="1"/>
      <c r="Y20" s="1"/>
      <c r="Z20" s="1"/>
      <c r="AA20" s="1"/>
      <c r="AB20" s="1"/>
      <c r="AC20" s="1"/>
      <c r="AD20" s="1"/>
      <c r="AE20" s="1"/>
    </row>
    <row r="21" spans="1:31" ht="13.5" thickBot="1">
      <c r="A21" s="43" t="s">
        <v>40</v>
      </c>
      <c r="B21" s="61"/>
      <c r="D21" s="17" t="s">
        <v>41</v>
      </c>
      <c r="E21" s="67">
        <f>IF((E14/(E15+0.1)&lt;1000),(E14/(E15+0.1)),1000)</f>
        <v>25</v>
      </c>
      <c r="F21" s="1"/>
      <c r="G21" s="23" t="s">
        <v>42</v>
      </c>
      <c r="H21" s="24"/>
      <c r="I21" s="24"/>
      <c r="J21" s="48"/>
      <c r="K21" s="1"/>
      <c r="L21" s="26">
        <v>11</v>
      </c>
      <c r="M21" s="27">
        <v>2.3</v>
      </c>
      <c r="N21" s="28">
        <v>4.15</v>
      </c>
      <c r="O21" s="26">
        <f>B15</f>
        <v>1</v>
      </c>
      <c r="P21" s="27">
        <f t="shared" si="0"/>
        <v>0</v>
      </c>
      <c r="Q21" s="27">
        <f t="shared" si="1"/>
        <v>11</v>
      </c>
      <c r="R21" s="28">
        <f t="shared" si="2"/>
        <v>0</v>
      </c>
      <c r="S21" s="1"/>
      <c r="T21" s="82">
        <f t="shared" si="3"/>
        <v>0.7024996532591946</v>
      </c>
      <c r="U21" s="27">
        <f t="shared" si="4"/>
        <v>0</v>
      </c>
      <c r="V21" s="27">
        <f t="shared" si="5"/>
        <v>11</v>
      </c>
      <c r="W21" s="28">
        <f t="shared" si="6"/>
        <v>0</v>
      </c>
      <c r="X21" s="1"/>
      <c r="Y21" s="1"/>
      <c r="Z21" s="1"/>
      <c r="AA21" s="1"/>
      <c r="AB21" s="1"/>
      <c r="AC21" s="1"/>
      <c r="AD21" s="1"/>
      <c r="AE21" s="1"/>
    </row>
    <row r="22" spans="2:31" ht="13.5" thickBot="1">
      <c r="B22" s="1"/>
      <c r="D22" s="68" t="s">
        <v>43</v>
      </c>
      <c r="E22" s="69"/>
      <c r="F22" s="1"/>
      <c r="G22" s="70" t="s">
        <v>44</v>
      </c>
      <c r="H22" s="39"/>
      <c r="I22" s="39"/>
      <c r="J22" s="41"/>
      <c r="K22" s="1"/>
      <c r="L22" s="26">
        <v>12</v>
      </c>
      <c r="M22" s="27">
        <v>2.05</v>
      </c>
      <c r="N22" s="28">
        <v>3.31</v>
      </c>
      <c r="O22" s="26">
        <f>B15</f>
        <v>1</v>
      </c>
      <c r="P22" s="27">
        <f t="shared" si="0"/>
        <v>0</v>
      </c>
      <c r="Q22" s="27">
        <f t="shared" si="1"/>
        <v>12</v>
      </c>
      <c r="R22" s="28">
        <f t="shared" si="2"/>
        <v>0</v>
      </c>
      <c r="S22" s="1"/>
      <c r="T22" s="82">
        <f t="shared" si="3"/>
        <v>0.7024996532591946</v>
      </c>
      <c r="U22" s="27">
        <f t="shared" si="4"/>
        <v>0</v>
      </c>
      <c r="V22" s="27">
        <f t="shared" si="5"/>
        <v>12</v>
      </c>
      <c r="W22" s="28">
        <f t="shared" si="6"/>
        <v>0</v>
      </c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4" t="s">
        <v>45</v>
      </c>
      <c r="B23" s="37"/>
      <c r="D23" s="17" t="s">
        <v>46</v>
      </c>
      <c r="E23" s="18">
        <f>2*B16*OHMSPEZ/(SQRT(E14*10000/(0.9*B14))-E14)</f>
        <v>0.7024996532591946</v>
      </c>
      <c r="F23" s="1"/>
      <c r="G23" s="72" t="s">
        <v>47</v>
      </c>
      <c r="H23" s="71"/>
      <c r="I23" s="71"/>
      <c r="J23" s="78">
        <f>W42</f>
        <v>18</v>
      </c>
      <c r="K23" s="1"/>
      <c r="L23" s="26">
        <v>13</v>
      </c>
      <c r="M23" s="27">
        <v>1.83</v>
      </c>
      <c r="N23" s="28">
        <v>2.63</v>
      </c>
      <c r="O23" s="26">
        <f>B15</f>
        <v>1</v>
      </c>
      <c r="P23" s="27">
        <f t="shared" si="0"/>
        <v>0</v>
      </c>
      <c r="Q23" s="27">
        <f t="shared" si="1"/>
        <v>13</v>
      </c>
      <c r="R23" s="28">
        <f t="shared" si="2"/>
        <v>0</v>
      </c>
      <c r="S23" s="1"/>
      <c r="T23" s="82">
        <f t="shared" si="3"/>
        <v>0.7024996532591946</v>
      </c>
      <c r="U23" s="27">
        <f t="shared" si="4"/>
        <v>0</v>
      </c>
      <c r="V23" s="27">
        <f t="shared" si="5"/>
        <v>13</v>
      </c>
      <c r="W23" s="28">
        <f t="shared" si="6"/>
        <v>0</v>
      </c>
      <c r="X23" s="1"/>
      <c r="Y23" s="1"/>
      <c r="Z23" s="1"/>
      <c r="AA23" s="1"/>
      <c r="AB23" s="1"/>
      <c r="AC23" s="1"/>
      <c r="AD23" s="1"/>
      <c r="AE23" s="1"/>
    </row>
    <row r="24" spans="1:31" ht="13.5" thickBot="1">
      <c r="A24" s="35" t="s">
        <v>48</v>
      </c>
      <c r="B24" s="38"/>
      <c r="D24" s="17" t="s">
        <v>49</v>
      </c>
      <c r="E24" s="18">
        <f>B15*(SQRT(E14*10000/(0.9*B14))-E14)/(2*OHMSPEZ)</f>
        <v>71.1744123545524</v>
      </c>
      <c r="F24" s="1"/>
      <c r="G24" s="72" t="s">
        <v>50</v>
      </c>
      <c r="H24" s="71"/>
      <c r="I24" s="71"/>
      <c r="J24" s="76">
        <f>E24*3.28</f>
        <v>233.45207252293187</v>
      </c>
      <c r="K24" s="1"/>
      <c r="L24" s="26">
        <v>14</v>
      </c>
      <c r="M24" s="27">
        <v>1.62</v>
      </c>
      <c r="N24" s="28">
        <v>2.08</v>
      </c>
      <c r="O24" s="26">
        <f>B15</f>
        <v>1</v>
      </c>
      <c r="P24" s="27">
        <f t="shared" si="0"/>
        <v>0</v>
      </c>
      <c r="Q24" s="27">
        <f t="shared" si="1"/>
        <v>14</v>
      </c>
      <c r="R24" s="28">
        <f t="shared" si="2"/>
        <v>0</v>
      </c>
      <c r="S24" s="1"/>
      <c r="T24" s="82">
        <f t="shared" si="3"/>
        <v>0.7024996532591946</v>
      </c>
      <c r="U24" s="27">
        <f t="shared" si="4"/>
        <v>0</v>
      </c>
      <c r="V24" s="27">
        <f t="shared" si="5"/>
        <v>14</v>
      </c>
      <c r="W24" s="28">
        <f t="shared" si="6"/>
        <v>0</v>
      </c>
      <c r="X24" s="1"/>
      <c r="Y24" s="1"/>
      <c r="Z24" s="1"/>
      <c r="AA24" s="1"/>
      <c r="AB24" s="1"/>
      <c r="AC24" s="1"/>
      <c r="AD24" s="1"/>
      <c r="AE24" s="1"/>
    </row>
    <row r="25" spans="2:31" ht="13.5" thickBot="1">
      <c r="B25" s="1"/>
      <c r="D25" s="19" t="s">
        <v>51</v>
      </c>
      <c r="E25" s="20">
        <f>10000*(1-SQRT(0.9))/(SQRT(0.9)*E15)</f>
        <v>284.69764941820955</v>
      </c>
      <c r="F25" s="1"/>
      <c r="G25" s="73" t="s">
        <v>51</v>
      </c>
      <c r="H25" s="77"/>
      <c r="I25" s="74"/>
      <c r="J25" s="79">
        <f>E25</f>
        <v>284.69764941820955</v>
      </c>
      <c r="K25" s="1"/>
      <c r="L25" s="26">
        <v>15</v>
      </c>
      <c r="M25" s="27">
        <v>1.45</v>
      </c>
      <c r="N25" s="28">
        <v>1.65</v>
      </c>
      <c r="O25" s="26">
        <f>B15</f>
        <v>1</v>
      </c>
      <c r="P25" s="27">
        <f t="shared" si="0"/>
        <v>0</v>
      </c>
      <c r="Q25" s="27">
        <f t="shared" si="1"/>
        <v>15</v>
      </c>
      <c r="R25" s="28">
        <f t="shared" si="2"/>
        <v>0</v>
      </c>
      <c r="S25" s="1"/>
      <c r="T25" s="82">
        <f t="shared" si="3"/>
        <v>0.7024996532591946</v>
      </c>
      <c r="U25" s="27">
        <f t="shared" si="4"/>
        <v>0</v>
      </c>
      <c r="V25" s="27">
        <f t="shared" si="5"/>
        <v>15</v>
      </c>
      <c r="W25" s="28">
        <f t="shared" si="6"/>
        <v>0</v>
      </c>
      <c r="X25" s="1"/>
      <c r="Y25" s="1"/>
      <c r="Z25" s="1"/>
      <c r="AA25" s="1"/>
      <c r="AB25" s="1"/>
      <c r="AC25" s="1"/>
      <c r="AD25" s="1"/>
      <c r="AE25" s="1"/>
    </row>
    <row r="26" spans="2:31" ht="13.5" thickTop="1">
      <c r="B26" s="1"/>
      <c r="F26" s="1"/>
      <c r="G26" s="1"/>
      <c r="H26" s="1"/>
      <c r="I26" s="1"/>
      <c r="J26" s="48"/>
      <c r="K26" s="1"/>
      <c r="L26" s="26">
        <v>16</v>
      </c>
      <c r="M26" s="27">
        <v>1.29</v>
      </c>
      <c r="N26" s="28">
        <v>1.31</v>
      </c>
      <c r="O26" s="26">
        <f>B15</f>
        <v>1</v>
      </c>
      <c r="P26" s="27">
        <f t="shared" si="0"/>
        <v>0</v>
      </c>
      <c r="Q26" s="27">
        <f t="shared" si="1"/>
        <v>16</v>
      </c>
      <c r="R26" s="28">
        <f t="shared" si="2"/>
        <v>0</v>
      </c>
      <c r="S26" s="1"/>
      <c r="T26" s="82">
        <f t="shared" si="3"/>
        <v>0.7024996532591946</v>
      </c>
      <c r="U26" s="27">
        <f t="shared" si="4"/>
        <v>0</v>
      </c>
      <c r="V26" s="27">
        <f t="shared" si="5"/>
        <v>16</v>
      </c>
      <c r="W26" s="28">
        <f t="shared" si="6"/>
        <v>0</v>
      </c>
      <c r="X26" s="1"/>
      <c r="Y26" s="1"/>
      <c r="Z26" s="1"/>
      <c r="AA26" s="1"/>
      <c r="AB26" s="1"/>
      <c r="AC26" s="1"/>
      <c r="AD26" s="1"/>
      <c r="AE26" s="1"/>
    </row>
    <row r="27" spans="2:31" ht="13.5" thickBot="1">
      <c r="B27" s="1"/>
      <c r="F27" s="1"/>
      <c r="G27" s="1"/>
      <c r="H27" s="1"/>
      <c r="I27" s="49"/>
      <c r="J27" s="48"/>
      <c r="K27" s="1"/>
      <c r="L27" s="26">
        <v>17</v>
      </c>
      <c r="M27" s="27">
        <v>1.15</v>
      </c>
      <c r="N27" s="28">
        <v>1.04</v>
      </c>
      <c r="O27" s="26">
        <f>B15</f>
        <v>1</v>
      </c>
      <c r="P27" s="27">
        <f t="shared" si="0"/>
        <v>0</v>
      </c>
      <c r="Q27" s="27">
        <f t="shared" si="1"/>
        <v>0</v>
      </c>
      <c r="R27" s="28">
        <f t="shared" si="2"/>
        <v>17</v>
      </c>
      <c r="S27" s="1"/>
      <c r="T27" s="82">
        <f t="shared" si="3"/>
        <v>0.7024996532591946</v>
      </c>
      <c r="U27" s="27">
        <f t="shared" si="4"/>
        <v>0</v>
      </c>
      <c r="V27" s="27">
        <f t="shared" si="5"/>
        <v>17</v>
      </c>
      <c r="W27" s="28">
        <f t="shared" si="6"/>
        <v>0</v>
      </c>
      <c r="X27" s="1"/>
      <c r="Y27" s="1"/>
      <c r="Z27" s="1"/>
      <c r="AA27" s="1"/>
      <c r="AB27" s="1"/>
      <c r="AC27" s="1"/>
      <c r="AD27" s="1"/>
      <c r="AE27" s="1"/>
    </row>
    <row r="28" spans="1:31" ht="13.5" thickBot="1">
      <c r="A28" s="32"/>
      <c r="B28" s="21"/>
      <c r="C28" s="33" t="s">
        <v>52</v>
      </c>
      <c r="D28" s="21"/>
      <c r="E28" s="22"/>
      <c r="F28" s="32"/>
      <c r="G28" s="21"/>
      <c r="H28" s="33" t="s">
        <v>52</v>
      </c>
      <c r="I28" s="21"/>
      <c r="J28" s="48"/>
      <c r="K28" s="1"/>
      <c r="L28" s="26">
        <v>18</v>
      </c>
      <c r="M28" s="27">
        <v>1.024</v>
      </c>
      <c r="N28" s="28">
        <v>0.823</v>
      </c>
      <c r="O28" s="26">
        <f>B15</f>
        <v>1</v>
      </c>
      <c r="P28" s="27">
        <f t="shared" si="0"/>
        <v>18</v>
      </c>
      <c r="Q28" s="27">
        <f t="shared" si="1"/>
        <v>0</v>
      </c>
      <c r="R28" s="28">
        <f t="shared" si="2"/>
        <v>0</v>
      </c>
      <c r="S28" s="1"/>
      <c r="T28" s="82">
        <f t="shared" si="3"/>
        <v>0.7024996532591946</v>
      </c>
      <c r="U28" s="27">
        <f t="shared" si="4"/>
        <v>0</v>
      </c>
      <c r="V28" s="27">
        <f t="shared" si="5"/>
        <v>0</v>
      </c>
      <c r="W28" s="28">
        <f t="shared" si="6"/>
        <v>18</v>
      </c>
      <c r="X28" s="1"/>
      <c r="Y28" s="1"/>
      <c r="Z28" s="1"/>
      <c r="AA28" s="1"/>
      <c r="AB28" s="1"/>
      <c r="AC28" s="1"/>
      <c r="AD28" s="1"/>
      <c r="AE28" s="1"/>
    </row>
    <row r="29" spans="1:31" ht="13.5" thickBot="1">
      <c r="A29" s="2"/>
      <c r="B29" s="2"/>
      <c r="C29" s="4"/>
      <c r="D29" s="2"/>
      <c r="E29" s="2"/>
      <c r="F29" s="1"/>
      <c r="G29" s="1"/>
      <c r="H29" s="1"/>
      <c r="I29" s="1"/>
      <c r="J29" s="48"/>
      <c r="K29" s="1"/>
      <c r="L29" s="26">
        <v>19</v>
      </c>
      <c r="M29" s="27">
        <v>0.912</v>
      </c>
      <c r="N29" s="28">
        <v>0.653</v>
      </c>
      <c r="O29" s="26">
        <f>B15</f>
        <v>1</v>
      </c>
      <c r="P29" s="27">
        <f t="shared" si="0"/>
        <v>19</v>
      </c>
      <c r="Q29" s="27">
        <f t="shared" si="1"/>
        <v>0</v>
      </c>
      <c r="R29" s="28">
        <f t="shared" si="2"/>
        <v>0</v>
      </c>
      <c r="S29" s="1"/>
      <c r="T29" s="82">
        <f t="shared" si="3"/>
        <v>0.7024996532591946</v>
      </c>
      <c r="U29" s="27">
        <f t="shared" si="4"/>
        <v>19</v>
      </c>
      <c r="V29" s="27">
        <f t="shared" si="5"/>
        <v>0</v>
      </c>
      <c r="W29" s="28">
        <f t="shared" si="6"/>
        <v>0</v>
      </c>
      <c r="X29" s="1"/>
      <c r="Y29" s="1"/>
      <c r="Z29" s="1"/>
      <c r="AA29" s="1"/>
      <c r="AB29" s="1"/>
      <c r="AC29" s="1"/>
      <c r="AD29" s="1"/>
      <c r="AE29" s="1"/>
    </row>
    <row r="30" spans="1:31" ht="14.25" thickBot="1" thickTop="1">
      <c r="A30" s="6" t="s">
        <v>8</v>
      </c>
      <c r="B30" s="45"/>
      <c r="D30" s="13" t="s">
        <v>9</v>
      </c>
      <c r="E30" s="14"/>
      <c r="F30" s="1"/>
      <c r="G30" s="50" t="s">
        <v>10</v>
      </c>
      <c r="H30" s="51"/>
      <c r="I30" s="24"/>
      <c r="J30" s="48"/>
      <c r="K30" s="1"/>
      <c r="L30" s="26">
        <v>20</v>
      </c>
      <c r="M30" s="27">
        <v>0.812</v>
      </c>
      <c r="N30" s="28">
        <v>0.519</v>
      </c>
      <c r="O30" s="26">
        <f>B15</f>
        <v>1</v>
      </c>
      <c r="P30" s="27">
        <f t="shared" si="0"/>
        <v>20</v>
      </c>
      <c r="Q30" s="27">
        <f t="shared" si="1"/>
        <v>0</v>
      </c>
      <c r="R30" s="28">
        <f>IF((P30+Q30)=0,L30,0)</f>
        <v>0</v>
      </c>
      <c r="S30" s="1"/>
      <c r="T30" s="82">
        <f t="shared" si="3"/>
        <v>0.7024996532591946</v>
      </c>
      <c r="U30" s="27">
        <f t="shared" si="4"/>
        <v>20</v>
      </c>
      <c r="V30" s="27">
        <f t="shared" si="5"/>
        <v>0</v>
      </c>
      <c r="W30" s="28">
        <f t="shared" si="6"/>
        <v>0</v>
      </c>
      <c r="X30" s="1"/>
      <c r="Y30" s="1"/>
      <c r="Z30" s="1"/>
      <c r="AA30" s="1"/>
      <c r="AB30" s="1"/>
      <c r="AC30" s="1"/>
      <c r="AD30" s="1"/>
      <c r="AE30" s="1"/>
    </row>
    <row r="31" spans="1:31" ht="13.5" thickTop="1">
      <c r="A31" s="8" t="s">
        <v>53</v>
      </c>
      <c r="B31" s="7">
        <v>125</v>
      </c>
      <c r="D31" s="15" t="s">
        <v>54</v>
      </c>
      <c r="E31" s="16">
        <f>4995/B31</f>
        <v>39.96</v>
      </c>
      <c r="F31" s="1"/>
      <c r="G31" s="52" t="s">
        <v>13</v>
      </c>
      <c r="H31" s="53" t="s">
        <v>14</v>
      </c>
      <c r="I31" s="24" t="s">
        <v>15</v>
      </c>
      <c r="J31" s="48"/>
      <c r="K31" s="1"/>
      <c r="L31" s="26">
        <v>21</v>
      </c>
      <c r="M31" s="27">
        <v>0.723</v>
      </c>
      <c r="N31" s="28">
        <v>0.412</v>
      </c>
      <c r="O31" s="26">
        <f>B15</f>
        <v>1</v>
      </c>
      <c r="P31" s="27">
        <f t="shared" si="0"/>
        <v>21</v>
      </c>
      <c r="Q31" s="27">
        <f t="shared" si="1"/>
        <v>0</v>
      </c>
      <c r="R31" s="28">
        <f t="shared" si="2"/>
        <v>0</v>
      </c>
      <c r="S31" s="1"/>
      <c r="T31" s="82">
        <f t="shared" si="3"/>
        <v>0.7024996532591946</v>
      </c>
      <c r="U31" s="27">
        <f t="shared" si="4"/>
        <v>21</v>
      </c>
      <c r="V31" s="27">
        <f t="shared" si="5"/>
        <v>0</v>
      </c>
      <c r="W31" s="28">
        <f t="shared" si="6"/>
        <v>0</v>
      </c>
      <c r="X31" s="1"/>
      <c r="Y31" s="1"/>
      <c r="Z31" s="1"/>
      <c r="AA31" s="1"/>
      <c r="AB31" s="1"/>
      <c r="AC31" s="1"/>
      <c r="AD31" s="1"/>
      <c r="AE31" s="1"/>
    </row>
    <row r="32" spans="1:31" ht="12.75">
      <c r="A32" s="9" t="s">
        <v>16</v>
      </c>
      <c r="B32" s="10">
        <v>1.6</v>
      </c>
      <c r="D32" s="17" t="s">
        <v>17</v>
      </c>
      <c r="E32" s="18">
        <f>2*B33*(OHMSPEZ/B32)</f>
        <v>2.3749999999999996</v>
      </c>
      <c r="F32" s="1"/>
      <c r="G32" s="54" t="s">
        <v>18</v>
      </c>
      <c r="H32" s="55" t="s">
        <v>19</v>
      </c>
      <c r="I32" s="27" t="s">
        <v>19</v>
      </c>
      <c r="J32" s="48"/>
      <c r="K32" s="1"/>
      <c r="L32" s="26">
        <v>22</v>
      </c>
      <c r="M32" s="27">
        <v>0.644</v>
      </c>
      <c r="N32" s="28">
        <v>0.325</v>
      </c>
      <c r="O32" s="26">
        <f>B15</f>
        <v>1</v>
      </c>
      <c r="P32" s="27">
        <f t="shared" si="0"/>
        <v>22</v>
      </c>
      <c r="Q32" s="27">
        <f t="shared" si="1"/>
        <v>0</v>
      </c>
      <c r="R32" s="28">
        <f t="shared" si="2"/>
        <v>0</v>
      </c>
      <c r="S32" s="1"/>
      <c r="T32" s="82">
        <f t="shared" si="3"/>
        <v>0.7024996532591946</v>
      </c>
      <c r="U32" s="27">
        <f t="shared" si="4"/>
        <v>22</v>
      </c>
      <c r="V32" s="27">
        <f t="shared" si="5"/>
        <v>0</v>
      </c>
      <c r="W32" s="28">
        <f t="shared" si="6"/>
        <v>0</v>
      </c>
      <c r="X32" s="1"/>
      <c r="Y32" s="1"/>
      <c r="Z32" s="1"/>
      <c r="AA32" s="1"/>
      <c r="AB32" s="1"/>
      <c r="AC32" s="1"/>
      <c r="AD32" s="1"/>
      <c r="AE32" s="1"/>
    </row>
    <row r="33" spans="1:31" ht="13.5" thickBot="1">
      <c r="A33" s="11" t="s">
        <v>20</v>
      </c>
      <c r="B33" s="12">
        <v>100</v>
      </c>
      <c r="D33" s="17" t="s">
        <v>21</v>
      </c>
      <c r="E33" s="18">
        <f>4995/(E32+E31)</f>
        <v>117.9874808078422</v>
      </c>
      <c r="F33" s="1"/>
      <c r="G33" s="54" t="s">
        <v>22</v>
      </c>
      <c r="H33" s="55" t="s">
        <v>23</v>
      </c>
      <c r="I33" s="27" t="s">
        <v>24</v>
      </c>
      <c r="J33" s="48"/>
      <c r="K33" s="1"/>
      <c r="L33" s="26">
        <v>23</v>
      </c>
      <c r="M33" s="27">
        <v>0.573</v>
      </c>
      <c r="N33" s="28">
        <v>0.259</v>
      </c>
      <c r="O33" s="26">
        <f>B15</f>
        <v>1</v>
      </c>
      <c r="P33" s="27">
        <f t="shared" si="0"/>
        <v>23</v>
      </c>
      <c r="Q33" s="27">
        <f t="shared" si="1"/>
        <v>0</v>
      </c>
      <c r="R33" s="28">
        <f t="shared" si="2"/>
        <v>0</v>
      </c>
      <c r="S33" s="1"/>
      <c r="T33" s="82">
        <f t="shared" si="3"/>
        <v>0.7024996532591946</v>
      </c>
      <c r="U33" s="27">
        <f t="shared" si="4"/>
        <v>23</v>
      </c>
      <c r="V33" s="27">
        <f t="shared" si="5"/>
        <v>0</v>
      </c>
      <c r="W33" s="28">
        <f t="shared" si="6"/>
        <v>0</v>
      </c>
      <c r="X33" s="1"/>
      <c r="Y33" s="1"/>
      <c r="Z33" s="1"/>
      <c r="AA33" s="1"/>
      <c r="AB33" s="1"/>
      <c r="AC33" s="1"/>
      <c r="AD33" s="1"/>
      <c r="AE33" s="1"/>
    </row>
    <row r="34" spans="2:31" ht="14.25" thickBot="1" thickTop="1">
      <c r="B34" s="1"/>
      <c r="D34" s="17" t="s">
        <v>25</v>
      </c>
      <c r="E34" s="18">
        <f>E33-E35</f>
        <v>6.61911578879473</v>
      </c>
      <c r="F34" s="1"/>
      <c r="G34" s="54" t="s">
        <v>26</v>
      </c>
      <c r="H34" s="55" t="s">
        <v>27</v>
      </c>
      <c r="I34" s="27" t="s">
        <v>28</v>
      </c>
      <c r="J34" s="48"/>
      <c r="K34" s="1"/>
      <c r="L34" s="26">
        <v>24</v>
      </c>
      <c r="M34" s="27">
        <v>0.511</v>
      </c>
      <c r="N34" s="28">
        <v>0.205</v>
      </c>
      <c r="O34" s="26">
        <f>B15</f>
        <v>1</v>
      </c>
      <c r="P34" s="27">
        <f t="shared" si="0"/>
        <v>24</v>
      </c>
      <c r="Q34" s="27">
        <f t="shared" si="1"/>
        <v>0</v>
      </c>
      <c r="R34" s="28">
        <f t="shared" si="2"/>
        <v>0</v>
      </c>
      <c r="S34" s="1"/>
      <c r="T34" s="82">
        <f t="shared" si="3"/>
        <v>0.7024996532591946</v>
      </c>
      <c r="U34" s="27">
        <f t="shared" si="4"/>
        <v>24</v>
      </c>
      <c r="V34" s="27">
        <f t="shared" si="5"/>
        <v>0</v>
      </c>
      <c r="W34" s="28">
        <f t="shared" si="6"/>
        <v>0</v>
      </c>
      <c r="X34" s="1"/>
      <c r="Y34" s="1"/>
      <c r="Z34" s="1"/>
      <c r="AA34" s="1"/>
      <c r="AB34" s="1"/>
      <c r="AC34" s="1"/>
      <c r="AD34" s="1"/>
      <c r="AE34" s="1"/>
    </row>
    <row r="35" spans="1:31" ht="13.5" thickBot="1">
      <c r="A35" s="36" t="s">
        <v>29</v>
      </c>
      <c r="B35" s="40">
        <f>3.28*B33</f>
        <v>328</v>
      </c>
      <c r="D35" s="17" t="s">
        <v>30</v>
      </c>
      <c r="E35" s="18">
        <f>E31*4995/(E31+E32)^2</f>
        <v>111.36836501904747</v>
      </c>
      <c r="F35" s="1"/>
      <c r="G35" s="54" t="s">
        <v>31</v>
      </c>
      <c r="H35" s="55" t="s">
        <v>32</v>
      </c>
      <c r="I35" s="27" t="s">
        <v>33</v>
      </c>
      <c r="J35" s="48"/>
      <c r="K35" s="1"/>
      <c r="L35" s="26">
        <v>25</v>
      </c>
      <c r="M35" s="27">
        <v>0.455</v>
      </c>
      <c r="N35" s="28">
        <v>0.163</v>
      </c>
      <c r="O35" s="26">
        <f>B15</f>
        <v>1</v>
      </c>
      <c r="P35" s="27">
        <f t="shared" si="0"/>
        <v>25</v>
      </c>
      <c r="Q35" s="27">
        <f t="shared" si="1"/>
        <v>0</v>
      </c>
      <c r="R35" s="28">
        <f t="shared" si="2"/>
        <v>0</v>
      </c>
      <c r="S35" s="1"/>
      <c r="T35" s="82">
        <f t="shared" si="3"/>
        <v>0.7024996532591946</v>
      </c>
      <c r="U35" s="27">
        <f t="shared" si="4"/>
        <v>25</v>
      </c>
      <c r="V35" s="27">
        <f t="shared" si="5"/>
        <v>0</v>
      </c>
      <c r="W35" s="28">
        <f t="shared" si="6"/>
        <v>0</v>
      </c>
      <c r="X35" s="1"/>
      <c r="Y35" s="1"/>
      <c r="Z35" s="1"/>
      <c r="AA35" s="1"/>
      <c r="AB35" s="1"/>
      <c r="AC35" s="1"/>
      <c r="AD35" s="1"/>
      <c r="AE35" s="1"/>
    </row>
    <row r="36" spans="1:31" ht="13.5" thickBot="1">
      <c r="A36" s="2"/>
      <c r="B36" s="2"/>
      <c r="D36" s="17" t="s">
        <v>34</v>
      </c>
      <c r="E36" s="18">
        <f>100*(1-E35/B31)</f>
        <v>10.905307984762025</v>
      </c>
      <c r="F36" s="1"/>
      <c r="G36" s="58" t="s">
        <v>35</v>
      </c>
      <c r="H36" s="59" t="s">
        <v>36</v>
      </c>
      <c r="I36" s="30" t="s">
        <v>37</v>
      </c>
      <c r="J36" s="48"/>
      <c r="K36" s="1"/>
      <c r="L36" s="26">
        <v>26</v>
      </c>
      <c r="M36" s="27">
        <v>0.405</v>
      </c>
      <c r="N36" s="28">
        <v>0.128</v>
      </c>
      <c r="O36" s="26">
        <f>B15</f>
        <v>1</v>
      </c>
      <c r="P36" s="27">
        <f t="shared" si="0"/>
        <v>26</v>
      </c>
      <c r="Q36" s="27">
        <f t="shared" si="1"/>
        <v>0</v>
      </c>
      <c r="R36" s="28">
        <f t="shared" si="2"/>
        <v>0</v>
      </c>
      <c r="S36" s="1"/>
      <c r="T36" s="82">
        <f t="shared" si="3"/>
        <v>0.7024996532591946</v>
      </c>
      <c r="U36" s="27">
        <f t="shared" si="4"/>
        <v>26</v>
      </c>
      <c r="V36" s="27">
        <f t="shared" si="5"/>
        <v>0</v>
      </c>
      <c r="W36" s="28">
        <f t="shared" si="6"/>
        <v>0</v>
      </c>
      <c r="X36" s="1"/>
      <c r="Y36" s="1"/>
      <c r="Z36" s="1"/>
      <c r="AA36" s="1"/>
      <c r="AB36" s="1"/>
      <c r="AC36" s="1"/>
      <c r="AD36" s="1"/>
      <c r="AE36" s="1"/>
    </row>
    <row r="37" spans="1:31" ht="13.5" thickBot="1">
      <c r="A37" s="36" t="s">
        <v>38</v>
      </c>
      <c r="B37" s="41">
        <f>R77</f>
        <v>15</v>
      </c>
      <c r="D37" s="17" t="s">
        <v>39</v>
      </c>
      <c r="E37" s="18">
        <f>10*LOG(E35/B31)</f>
        <v>-0.5014816910745724</v>
      </c>
      <c r="F37" s="1"/>
      <c r="G37" s="1"/>
      <c r="H37" s="1"/>
      <c r="I37" s="1"/>
      <c r="J37" s="48"/>
      <c r="K37" s="1"/>
      <c r="L37" s="26">
        <v>27</v>
      </c>
      <c r="M37" s="27">
        <v>0.361</v>
      </c>
      <c r="N37" s="28">
        <v>0.102</v>
      </c>
      <c r="O37" s="26">
        <f>B15</f>
        <v>1</v>
      </c>
      <c r="P37" s="27">
        <f t="shared" si="0"/>
        <v>27</v>
      </c>
      <c r="Q37" s="27">
        <f t="shared" si="1"/>
        <v>0</v>
      </c>
      <c r="R37" s="28">
        <f t="shared" si="2"/>
        <v>0</v>
      </c>
      <c r="S37" s="1"/>
      <c r="T37" s="82">
        <f t="shared" si="3"/>
        <v>0.7024996532591946</v>
      </c>
      <c r="U37" s="27">
        <f t="shared" si="4"/>
        <v>27</v>
      </c>
      <c r="V37" s="27">
        <f t="shared" si="5"/>
        <v>0</v>
      </c>
      <c r="W37" s="28">
        <f t="shared" si="6"/>
        <v>0</v>
      </c>
      <c r="X37" s="1"/>
      <c r="Y37" s="1"/>
      <c r="Z37" s="1"/>
      <c r="AA37" s="1"/>
      <c r="AB37" s="1"/>
      <c r="AC37" s="1"/>
      <c r="AD37" s="1"/>
      <c r="AE37" s="1"/>
    </row>
    <row r="38" spans="1:31" ht="13.5" thickBot="1">
      <c r="A38" s="43" t="s">
        <v>40</v>
      </c>
      <c r="B38" s="61"/>
      <c r="D38" s="17" t="s">
        <v>41</v>
      </c>
      <c r="E38" s="18">
        <f>IF((E31/(E32+0.1)&lt;1000),(E31/(E32+0.1)),1000)</f>
        <v>16.145454545454548</v>
      </c>
      <c r="F38" s="1"/>
      <c r="G38" s="32" t="s">
        <v>42</v>
      </c>
      <c r="H38" s="21"/>
      <c r="I38" s="21"/>
      <c r="J38" s="48"/>
      <c r="K38" s="1"/>
      <c r="L38" s="26">
        <v>28</v>
      </c>
      <c r="M38" s="27">
        <v>0.321</v>
      </c>
      <c r="N38" s="28">
        <v>0.0804</v>
      </c>
      <c r="O38" s="26">
        <f>B15</f>
        <v>1</v>
      </c>
      <c r="P38" s="27">
        <f t="shared" si="0"/>
        <v>28</v>
      </c>
      <c r="Q38" s="27">
        <f t="shared" si="1"/>
        <v>0</v>
      </c>
      <c r="R38" s="28">
        <f t="shared" si="2"/>
        <v>0</v>
      </c>
      <c r="S38" s="1"/>
      <c r="T38" s="82">
        <f t="shared" si="3"/>
        <v>0.7024996532591946</v>
      </c>
      <c r="U38" s="27">
        <f t="shared" si="4"/>
        <v>28</v>
      </c>
      <c r="V38" s="27">
        <f t="shared" si="5"/>
        <v>0</v>
      </c>
      <c r="W38" s="28">
        <f t="shared" si="6"/>
        <v>0</v>
      </c>
      <c r="X38" s="1"/>
      <c r="Y38" s="1"/>
      <c r="Z38" s="1"/>
      <c r="AA38" s="1"/>
      <c r="AB38" s="1"/>
      <c r="AC38" s="1"/>
      <c r="AD38" s="1"/>
      <c r="AE38" s="1"/>
    </row>
    <row r="39" spans="2:31" ht="13.5" thickBot="1">
      <c r="B39" s="1"/>
      <c r="D39" s="68" t="s">
        <v>55</v>
      </c>
      <c r="E39" s="69"/>
      <c r="F39" s="1"/>
      <c r="G39" s="70" t="s">
        <v>44</v>
      </c>
      <c r="H39" s="39"/>
      <c r="I39" s="39"/>
      <c r="J39" s="41"/>
      <c r="K39" s="1"/>
      <c r="L39" s="26">
        <v>29</v>
      </c>
      <c r="M39" s="27">
        <v>0.286</v>
      </c>
      <c r="N39" s="28">
        <v>0.0646</v>
      </c>
      <c r="O39" s="26">
        <f>B15</f>
        <v>1</v>
      </c>
      <c r="P39" s="27">
        <f t="shared" si="0"/>
        <v>29</v>
      </c>
      <c r="Q39" s="27">
        <f t="shared" si="1"/>
        <v>0</v>
      </c>
      <c r="R39" s="28">
        <f t="shared" si="2"/>
        <v>0</v>
      </c>
      <c r="S39" s="1"/>
      <c r="T39" s="82">
        <f t="shared" si="3"/>
        <v>0.7024996532591946</v>
      </c>
      <c r="U39" s="27">
        <f t="shared" si="4"/>
        <v>29</v>
      </c>
      <c r="V39" s="27">
        <f t="shared" si="5"/>
        <v>0</v>
      </c>
      <c r="W39" s="28">
        <f t="shared" si="6"/>
        <v>0</v>
      </c>
      <c r="X39" s="1"/>
      <c r="Y39" s="1"/>
      <c r="Z39" s="1"/>
      <c r="AA39" s="1"/>
      <c r="AB39" s="1"/>
      <c r="AC39" s="1"/>
      <c r="AD39" s="1"/>
      <c r="AE39" s="1"/>
    </row>
    <row r="40" spans="1:31" ht="13.5" thickBot="1">
      <c r="A40" s="34" t="s">
        <v>45</v>
      </c>
      <c r="B40" s="37"/>
      <c r="D40" s="17" t="s">
        <v>46</v>
      </c>
      <c r="E40" s="18">
        <f>2*B33*OHMSPEZ/(SQRT(E31*4995/(0.9*B31))-E31)</f>
        <v>1.758007140288275</v>
      </c>
      <c r="F40" s="1"/>
      <c r="G40" s="72" t="s">
        <v>47</v>
      </c>
      <c r="H40" s="71"/>
      <c r="I40" s="71"/>
      <c r="J40" s="78">
        <f>W77</f>
        <v>14</v>
      </c>
      <c r="K40" s="1"/>
      <c r="L40" s="29">
        <v>30</v>
      </c>
      <c r="M40" s="30">
        <v>0.255</v>
      </c>
      <c r="N40" s="31">
        <v>0.0503</v>
      </c>
      <c r="O40" s="29">
        <f>B15</f>
        <v>1</v>
      </c>
      <c r="P40" s="30">
        <f t="shared" si="0"/>
        <v>30</v>
      </c>
      <c r="Q40" s="30">
        <f t="shared" si="1"/>
        <v>0</v>
      </c>
      <c r="R40" s="31">
        <f t="shared" si="2"/>
        <v>0</v>
      </c>
      <c r="S40" s="1"/>
      <c r="T40" s="82">
        <f t="shared" si="3"/>
        <v>0.7024996532591946</v>
      </c>
      <c r="U40" s="27">
        <f t="shared" si="4"/>
        <v>30</v>
      </c>
      <c r="V40" s="27">
        <f t="shared" si="5"/>
        <v>0</v>
      </c>
      <c r="W40" s="28">
        <f t="shared" si="6"/>
        <v>0</v>
      </c>
      <c r="X40" s="1"/>
      <c r="Y40" s="1"/>
      <c r="Z40" s="1"/>
      <c r="AA40" s="1"/>
      <c r="AB40" s="1"/>
      <c r="AC40" s="1"/>
      <c r="AD40" s="1"/>
      <c r="AE40" s="1"/>
    </row>
    <row r="41" spans="1:31" ht="13.5" thickBot="1">
      <c r="A41" s="35" t="s">
        <v>48</v>
      </c>
      <c r="B41" s="38"/>
      <c r="D41" s="17" t="s">
        <v>49</v>
      </c>
      <c r="E41" s="18">
        <f>B32*(SQRT(E31*4995/(0.9*B31))-E31)/(2*OHMSPEZ)</f>
        <v>91.01214456601325</v>
      </c>
      <c r="F41" s="1"/>
      <c r="G41" s="72" t="s">
        <v>50</v>
      </c>
      <c r="H41" s="71"/>
      <c r="I41" s="71"/>
      <c r="J41" s="76">
        <f>E41*3.28</f>
        <v>298.51983417652343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3.5" thickBot="1">
      <c r="B42" s="1"/>
      <c r="D42" s="19" t="s">
        <v>51</v>
      </c>
      <c r="E42" s="20">
        <f>4995*(1-SQRT(0.9))/(SQRT(0.9)*E32)</f>
        <v>113.76518070751655</v>
      </c>
      <c r="F42" s="1"/>
      <c r="G42" s="73" t="s">
        <v>51</v>
      </c>
      <c r="H42" s="77"/>
      <c r="I42" s="74"/>
      <c r="J42" s="79">
        <f>E42</f>
        <v>113.76518070751655</v>
      </c>
      <c r="K42" s="1"/>
      <c r="L42" s="1"/>
      <c r="M42" s="1"/>
      <c r="N42" s="1"/>
      <c r="O42" s="1"/>
      <c r="P42" s="1"/>
      <c r="Q42" s="42" t="s">
        <v>5</v>
      </c>
      <c r="R42" s="62">
        <f>SUM(R11:R41)</f>
        <v>17</v>
      </c>
      <c r="S42" s="1"/>
      <c r="T42" s="1"/>
      <c r="U42" s="1"/>
      <c r="V42" s="42" t="s">
        <v>5</v>
      </c>
      <c r="W42" s="62">
        <f>SUM(W11:W40)</f>
        <v>18</v>
      </c>
      <c r="X42" s="1"/>
      <c r="Y42" s="1"/>
      <c r="Z42" s="1"/>
      <c r="AA42" s="1"/>
      <c r="AB42" s="1"/>
      <c r="AC42" s="1"/>
      <c r="AD42" s="1"/>
      <c r="AE42" s="1"/>
    </row>
    <row r="43" spans="2:31" ht="13.5" thickTop="1">
      <c r="B43" s="1"/>
      <c r="F43" s="1"/>
      <c r="G43" s="1"/>
      <c r="H43" s="1"/>
      <c r="I43" s="1"/>
      <c r="J43" s="4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3.5" thickBot="1">
      <c r="B44" s="1"/>
      <c r="F44" s="1"/>
      <c r="G44" s="1"/>
      <c r="H44" s="1"/>
      <c r="I44" s="1"/>
      <c r="J44" s="4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3.5" thickBot="1">
      <c r="A45" s="32"/>
      <c r="B45" s="21"/>
      <c r="C45" s="33" t="s">
        <v>56</v>
      </c>
      <c r="D45" s="21"/>
      <c r="E45" s="22"/>
      <c r="F45" s="32"/>
      <c r="G45" s="21"/>
      <c r="H45" s="33" t="s">
        <v>56</v>
      </c>
      <c r="I45" s="21"/>
      <c r="J45" s="48"/>
      <c r="K45" s="1"/>
      <c r="L45" s="32" t="s">
        <v>5</v>
      </c>
      <c r="M45" s="21" t="s">
        <v>6</v>
      </c>
      <c r="N45" s="22" t="s">
        <v>7</v>
      </c>
      <c r="O45" s="23"/>
      <c r="P45" s="24"/>
      <c r="Q45" s="24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3.5" thickBot="1">
      <c r="A46" s="2"/>
      <c r="B46" s="2"/>
      <c r="C46" s="4"/>
      <c r="D46" s="2"/>
      <c r="E46" s="2"/>
      <c r="F46" s="1"/>
      <c r="G46" s="49"/>
      <c r="H46" s="1"/>
      <c r="I46" s="1"/>
      <c r="J46" s="48"/>
      <c r="K46" s="1"/>
      <c r="L46" s="26">
        <v>1</v>
      </c>
      <c r="M46" s="27">
        <v>7.35</v>
      </c>
      <c r="N46" s="28">
        <v>42.4</v>
      </c>
      <c r="O46" s="26">
        <f>$B$32</f>
        <v>1.6</v>
      </c>
      <c r="P46" s="27">
        <f>IF(O46&gt;N46,L46,0)</f>
        <v>0</v>
      </c>
      <c r="Q46" s="27">
        <f>IF(O46&gt;N47,0,L46)</f>
        <v>1</v>
      </c>
      <c r="R46" s="28">
        <f>IF((P46+Q46)=0,L46,0)</f>
        <v>0</v>
      </c>
      <c r="S46" s="1"/>
      <c r="T46" s="82">
        <f>$E$40</f>
        <v>1.758007140288275</v>
      </c>
      <c r="U46" s="27">
        <f>IF((T46&gt;N46),L46,0)</f>
        <v>0</v>
      </c>
      <c r="V46" s="27">
        <f>IF((T46&gt;N47),0,L46)</f>
        <v>1</v>
      </c>
      <c r="W46" s="28">
        <f>IF((U46+V46)=0,L46,0)</f>
        <v>0</v>
      </c>
      <c r="X46" s="1"/>
      <c r="Y46" s="1"/>
      <c r="Z46" s="1"/>
      <c r="AA46" s="1"/>
      <c r="AB46" s="1"/>
      <c r="AC46" s="1"/>
      <c r="AD46" s="1"/>
      <c r="AE46" s="1"/>
    </row>
    <row r="47" spans="1:31" ht="14.25" thickBot="1" thickTop="1">
      <c r="A47" s="6" t="s">
        <v>8</v>
      </c>
      <c r="B47" s="45"/>
      <c r="D47" s="13" t="s">
        <v>9</v>
      </c>
      <c r="E47" s="14"/>
      <c r="F47" s="1"/>
      <c r="G47" s="50" t="s">
        <v>10</v>
      </c>
      <c r="H47" s="51"/>
      <c r="I47" s="24"/>
      <c r="J47" s="48"/>
      <c r="K47" s="1"/>
      <c r="L47" s="26">
        <v>2</v>
      </c>
      <c r="M47" s="27">
        <v>6.54</v>
      </c>
      <c r="N47" s="28">
        <v>33.6</v>
      </c>
      <c r="O47" s="26">
        <f aca="true" t="shared" si="7" ref="O47:O75">$B$32</f>
        <v>1.6</v>
      </c>
      <c r="P47" s="27">
        <f aca="true" t="shared" si="8" ref="P47:P75">IF(O47&gt;N47,L47,0)</f>
        <v>0</v>
      </c>
      <c r="Q47" s="27">
        <f aca="true" t="shared" si="9" ref="Q47:Q74">IF(O47&gt;N48,0,L47)</f>
        <v>2</v>
      </c>
      <c r="R47" s="28">
        <f aca="true" t="shared" si="10" ref="R47:R64">IF((P47+Q47)=0,L47,0)</f>
        <v>0</v>
      </c>
      <c r="S47" s="1"/>
      <c r="T47" s="82">
        <f aca="true" t="shared" si="11" ref="T47:T75">$E$40</f>
        <v>1.758007140288275</v>
      </c>
      <c r="U47" s="27">
        <f aca="true" t="shared" si="12" ref="U47:U75">IF((T47&gt;N47),L47,0)</f>
        <v>0</v>
      </c>
      <c r="V47" s="27">
        <f aca="true" t="shared" si="13" ref="V47:V75">IF((T47&gt;N48),0,L47)</f>
        <v>2</v>
      </c>
      <c r="W47" s="28">
        <f aca="true" t="shared" si="14" ref="W47:W75">IF((U47+V47)=0,L47,0)</f>
        <v>0</v>
      </c>
      <c r="X47" s="1"/>
      <c r="Y47" s="1"/>
      <c r="Z47" s="1"/>
      <c r="AA47" s="1"/>
      <c r="AB47" s="1"/>
      <c r="AC47" s="1"/>
      <c r="AD47" s="1"/>
      <c r="AE47" s="1"/>
    </row>
    <row r="48" spans="1:31" ht="13.5" thickTop="1">
      <c r="A48" s="83" t="s">
        <v>57</v>
      </c>
      <c r="B48" s="84">
        <v>4</v>
      </c>
      <c r="D48" s="15" t="s">
        <v>54</v>
      </c>
      <c r="E48" s="16">
        <f>B48</f>
        <v>4</v>
      </c>
      <c r="F48" s="1"/>
      <c r="G48" s="52" t="s">
        <v>13</v>
      </c>
      <c r="H48" s="53" t="s">
        <v>14</v>
      </c>
      <c r="I48" s="24" t="s">
        <v>15</v>
      </c>
      <c r="J48" s="48"/>
      <c r="K48" s="1"/>
      <c r="L48" s="26">
        <v>3</v>
      </c>
      <c r="M48" s="27">
        <v>5.82</v>
      </c>
      <c r="N48" s="28">
        <v>26.6</v>
      </c>
      <c r="O48" s="26">
        <f t="shared" si="7"/>
        <v>1.6</v>
      </c>
      <c r="P48" s="27">
        <f t="shared" si="8"/>
        <v>0</v>
      </c>
      <c r="Q48" s="27">
        <f t="shared" si="9"/>
        <v>3</v>
      </c>
      <c r="R48" s="28">
        <f t="shared" si="10"/>
        <v>0</v>
      </c>
      <c r="S48" s="1"/>
      <c r="T48" s="82">
        <f t="shared" si="11"/>
        <v>1.758007140288275</v>
      </c>
      <c r="U48" s="27">
        <f t="shared" si="12"/>
        <v>0</v>
      </c>
      <c r="V48" s="27">
        <f t="shared" si="13"/>
        <v>3</v>
      </c>
      <c r="W48" s="28">
        <f t="shared" si="14"/>
        <v>0</v>
      </c>
      <c r="X48" s="1"/>
      <c r="Y48" s="1"/>
      <c r="Z48" s="1"/>
      <c r="AA48" s="1"/>
      <c r="AB48" s="1"/>
      <c r="AC48" s="1"/>
      <c r="AD48" s="1"/>
      <c r="AE48" s="1"/>
    </row>
    <row r="49" spans="1:31" ht="12.75">
      <c r="A49" s="85" t="s">
        <v>16</v>
      </c>
      <c r="B49" s="86">
        <v>4</v>
      </c>
      <c r="D49" s="17" t="s">
        <v>17</v>
      </c>
      <c r="E49" s="18">
        <f>2*B50*(OHMSPEZ/B49)</f>
        <v>0.285</v>
      </c>
      <c r="F49" s="1"/>
      <c r="G49" s="54" t="s">
        <v>18</v>
      </c>
      <c r="H49" s="55" t="s">
        <v>19</v>
      </c>
      <c r="I49" s="27" t="s">
        <v>19</v>
      </c>
      <c r="J49" s="48"/>
      <c r="K49" s="1"/>
      <c r="L49" s="26">
        <v>4</v>
      </c>
      <c r="M49" s="27">
        <v>5.19</v>
      </c>
      <c r="N49" s="28">
        <v>21.2</v>
      </c>
      <c r="O49" s="26">
        <f t="shared" si="7"/>
        <v>1.6</v>
      </c>
      <c r="P49" s="27">
        <f t="shared" si="8"/>
        <v>0</v>
      </c>
      <c r="Q49" s="27">
        <f t="shared" si="9"/>
        <v>4</v>
      </c>
      <c r="R49" s="28">
        <f t="shared" si="10"/>
        <v>0</v>
      </c>
      <c r="S49" s="1"/>
      <c r="T49" s="82">
        <f t="shared" si="11"/>
        <v>1.758007140288275</v>
      </c>
      <c r="U49" s="27">
        <f t="shared" si="12"/>
        <v>0</v>
      </c>
      <c r="V49" s="27">
        <f t="shared" si="13"/>
        <v>4</v>
      </c>
      <c r="W49" s="28">
        <f t="shared" si="14"/>
        <v>0</v>
      </c>
      <c r="X49" s="1"/>
      <c r="Y49" s="1"/>
      <c r="Z49" s="1"/>
      <c r="AA49" s="1"/>
      <c r="AB49" s="1"/>
      <c r="AC49" s="1"/>
      <c r="AD49" s="1"/>
      <c r="AE49" s="1"/>
    </row>
    <row r="50" spans="1:31" ht="12.75">
      <c r="A50" s="85" t="s">
        <v>20</v>
      </c>
      <c r="B50" s="86">
        <v>30</v>
      </c>
      <c r="D50" s="17" t="s">
        <v>21</v>
      </c>
      <c r="E50" s="18">
        <f>B51*(E48/(E49+E48))</f>
        <v>93.34889148191365</v>
      </c>
      <c r="F50" s="1"/>
      <c r="G50" s="54" t="s">
        <v>22</v>
      </c>
      <c r="H50" s="55" t="s">
        <v>23</v>
      </c>
      <c r="I50" s="27" t="s">
        <v>24</v>
      </c>
      <c r="J50" s="48"/>
      <c r="K50" s="1"/>
      <c r="L50" s="26">
        <v>5</v>
      </c>
      <c r="M50" s="27">
        <v>4.62</v>
      </c>
      <c r="N50" s="28">
        <v>16.8</v>
      </c>
      <c r="O50" s="26">
        <f t="shared" si="7"/>
        <v>1.6</v>
      </c>
      <c r="P50" s="27">
        <f t="shared" si="8"/>
        <v>0</v>
      </c>
      <c r="Q50" s="27">
        <f t="shared" si="9"/>
        <v>5</v>
      </c>
      <c r="R50" s="28">
        <f t="shared" si="10"/>
        <v>0</v>
      </c>
      <c r="S50" s="1"/>
      <c r="T50" s="82">
        <f t="shared" si="11"/>
        <v>1.758007140288275</v>
      </c>
      <c r="U50" s="27">
        <f t="shared" si="12"/>
        <v>0</v>
      </c>
      <c r="V50" s="27">
        <f t="shared" si="13"/>
        <v>5</v>
      </c>
      <c r="W50" s="28">
        <f t="shared" si="14"/>
        <v>0</v>
      </c>
      <c r="X50" s="1"/>
      <c r="Y50" s="1"/>
      <c r="Z50" s="1"/>
      <c r="AA50" s="1"/>
      <c r="AB50" s="1"/>
      <c r="AC50" s="1"/>
      <c r="AD50" s="1"/>
      <c r="AE50" s="1"/>
    </row>
    <row r="51" spans="1:31" ht="13.5" thickBot="1">
      <c r="A51" s="87" t="s">
        <v>58</v>
      </c>
      <c r="B51" s="88">
        <v>100</v>
      </c>
      <c r="D51" s="17" t="s">
        <v>25</v>
      </c>
      <c r="E51" s="18">
        <f>100*((E50/100)*E49/(E48+E49))</f>
        <v>6.20873607289274</v>
      </c>
      <c r="F51" s="1"/>
      <c r="G51" s="54" t="s">
        <v>26</v>
      </c>
      <c r="H51" s="55" t="s">
        <v>27</v>
      </c>
      <c r="I51" s="27" t="s">
        <v>28</v>
      </c>
      <c r="J51" s="48"/>
      <c r="K51" s="1"/>
      <c r="L51" s="26">
        <v>6</v>
      </c>
      <c r="M51" s="27">
        <v>4.11</v>
      </c>
      <c r="N51" s="28">
        <v>13.3</v>
      </c>
      <c r="O51" s="26">
        <f t="shared" si="7"/>
        <v>1.6</v>
      </c>
      <c r="P51" s="27">
        <f t="shared" si="8"/>
        <v>0</v>
      </c>
      <c r="Q51" s="27">
        <f t="shared" si="9"/>
        <v>6</v>
      </c>
      <c r="R51" s="28">
        <f t="shared" si="10"/>
        <v>0</v>
      </c>
      <c r="S51" s="1"/>
      <c r="T51" s="82">
        <f t="shared" si="11"/>
        <v>1.758007140288275</v>
      </c>
      <c r="U51" s="27">
        <f t="shared" si="12"/>
        <v>0</v>
      </c>
      <c r="V51" s="27">
        <f t="shared" si="13"/>
        <v>6</v>
      </c>
      <c r="W51" s="28">
        <f t="shared" si="14"/>
        <v>0</v>
      </c>
      <c r="X51" s="1"/>
      <c r="Y51" s="1"/>
      <c r="Z51" s="1"/>
      <c r="AA51" s="1"/>
      <c r="AB51" s="1"/>
      <c r="AC51" s="1"/>
      <c r="AD51" s="1"/>
      <c r="AE51" s="1"/>
    </row>
    <row r="52" spans="1:31" ht="13.5" thickBot="1">
      <c r="A52" s="73" t="s">
        <v>29</v>
      </c>
      <c r="B52" s="75">
        <f>3.28*B50</f>
        <v>98.39999999999999</v>
      </c>
      <c r="D52" s="17" t="s">
        <v>30</v>
      </c>
      <c r="E52" s="18">
        <f>E50-E51</f>
        <v>87.14015540902092</v>
      </c>
      <c r="F52" s="1"/>
      <c r="G52" s="54" t="s">
        <v>31</v>
      </c>
      <c r="H52" s="55" t="s">
        <v>32</v>
      </c>
      <c r="I52" s="27" t="s">
        <v>33</v>
      </c>
      <c r="J52" s="48"/>
      <c r="K52" s="1"/>
      <c r="L52" s="26">
        <v>7</v>
      </c>
      <c r="M52" s="27">
        <v>3.67</v>
      </c>
      <c r="N52" s="28">
        <v>10.6</v>
      </c>
      <c r="O52" s="26">
        <f t="shared" si="7"/>
        <v>1.6</v>
      </c>
      <c r="P52" s="27">
        <f t="shared" si="8"/>
        <v>0</v>
      </c>
      <c r="Q52" s="27">
        <f t="shared" si="9"/>
        <v>7</v>
      </c>
      <c r="R52" s="28">
        <f t="shared" si="10"/>
        <v>0</v>
      </c>
      <c r="S52" s="1"/>
      <c r="T52" s="82">
        <f t="shared" si="11"/>
        <v>1.758007140288275</v>
      </c>
      <c r="U52" s="27">
        <f t="shared" si="12"/>
        <v>0</v>
      </c>
      <c r="V52" s="27">
        <f t="shared" si="13"/>
        <v>7</v>
      </c>
      <c r="W52" s="28">
        <f t="shared" si="14"/>
        <v>0</v>
      </c>
      <c r="X52" s="1"/>
      <c r="Y52" s="1"/>
      <c r="Z52" s="1"/>
      <c r="AA52" s="1"/>
      <c r="AB52" s="1"/>
      <c r="AC52" s="1"/>
      <c r="AD52" s="1"/>
      <c r="AE52" s="1"/>
    </row>
    <row r="53" spans="1:31" ht="13.5" thickBot="1">
      <c r="A53" s="44"/>
      <c r="B53" s="57"/>
      <c r="D53" s="17" t="s">
        <v>34</v>
      </c>
      <c r="E53" s="18">
        <f>(1-(E52/B51))*100</f>
        <v>12.859844590979074</v>
      </c>
      <c r="F53" s="1"/>
      <c r="G53" s="58" t="s">
        <v>35</v>
      </c>
      <c r="H53" s="59" t="s">
        <v>36</v>
      </c>
      <c r="I53" s="30" t="s">
        <v>37</v>
      </c>
      <c r="J53" s="48"/>
      <c r="K53" s="1"/>
      <c r="L53" s="26">
        <v>8</v>
      </c>
      <c r="M53" s="27">
        <v>3.26</v>
      </c>
      <c r="N53" s="28">
        <v>8.35</v>
      </c>
      <c r="O53" s="26">
        <f t="shared" si="7"/>
        <v>1.6</v>
      </c>
      <c r="P53" s="27">
        <f t="shared" si="8"/>
        <v>0</v>
      </c>
      <c r="Q53" s="27">
        <f t="shared" si="9"/>
        <v>8</v>
      </c>
      <c r="R53" s="28">
        <f t="shared" si="10"/>
        <v>0</v>
      </c>
      <c r="S53" s="1"/>
      <c r="T53" s="82">
        <f t="shared" si="11"/>
        <v>1.758007140288275</v>
      </c>
      <c r="U53" s="27">
        <f t="shared" si="12"/>
        <v>0</v>
      </c>
      <c r="V53" s="27">
        <f t="shared" si="13"/>
        <v>8</v>
      </c>
      <c r="W53" s="28">
        <f t="shared" si="14"/>
        <v>0</v>
      </c>
      <c r="X53" s="1"/>
      <c r="Y53" s="1"/>
      <c r="Z53" s="1"/>
      <c r="AA53" s="1"/>
      <c r="AB53" s="1"/>
      <c r="AC53" s="1"/>
      <c r="AD53" s="1"/>
      <c r="AE53" s="1"/>
    </row>
    <row r="54" spans="1:31" ht="13.5" thickBot="1">
      <c r="A54" s="36" t="s">
        <v>38</v>
      </c>
      <c r="B54" s="41">
        <f>R112</f>
        <v>11</v>
      </c>
      <c r="D54" s="17" t="s">
        <v>39</v>
      </c>
      <c r="E54" s="18">
        <f>10*LOG(E52/B51)</f>
        <v>-0.5978166986250909</v>
      </c>
      <c r="F54" s="1"/>
      <c r="G54" s="1"/>
      <c r="H54" s="1"/>
      <c r="I54" s="1"/>
      <c r="J54" s="48"/>
      <c r="K54" s="1"/>
      <c r="L54" s="26">
        <v>9</v>
      </c>
      <c r="M54" s="27">
        <v>2.91</v>
      </c>
      <c r="N54" s="28">
        <v>6.62</v>
      </c>
      <c r="O54" s="26">
        <f t="shared" si="7"/>
        <v>1.6</v>
      </c>
      <c r="P54" s="27">
        <f t="shared" si="8"/>
        <v>0</v>
      </c>
      <c r="Q54" s="27">
        <f t="shared" si="9"/>
        <v>9</v>
      </c>
      <c r="R54" s="28">
        <f t="shared" si="10"/>
        <v>0</v>
      </c>
      <c r="S54" s="1"/>
      <c r="T54" s="82">
        <f t="shared" si="11"/>
        <v>1.758007140288275</v>
      </c>
      <c r="U54" s="27">
        <f t="shared" si="12"/>
        <v>0</v>
      </c>
      <c r="V54" s="27">
        <f t="shared" si="13"/>
        <v>9</v>
      </c>
      <c r="W54" s="28">
        <f t="shared" si="14"/>
        <v>0</v>
      </c>
      <c r="X54" s="1"/>
      <c r="Y54" s="1"/>
      <c r="Z54" s="1"/>
      <c r="AA54" s="1"/>
      <c r="AB54" s="1"/>
      <c r="AC54" s="1"/>
      <c r="AD54" s="1"/>
      <c r="AE54" s="1"/>
    </row>
    <row r="55" spans="1:31" ht="13.5" thickBot="1">
      <c r="A55" s="43" t="s">
        <v>40</v>
      </c>
      <c r="B55" s="61"/>
      <c r="D55" s="19" t="s">
        <v>41</v>
      </c>
      <c r="E55" s="20">
        <f>IF((E48/(E49+0.01)&lt;1000),(E48/(E49+0.01)),1000)</f>
        <v>13.559322033898306</v>
      </c>
      <c r="F55" s="1"/>
      <c r="G55" s="32" t="s">
        <v>42</v>
      </c>
      <c r="H55" s="21"/>
      <c r="I55" s="21"/>
      <c r="J55" s="48"/>
      <c r="K55" s="1"/>
      <c r="L55" s="26">
        <v>10</v>
      </c>
      <c r="M55" s="27">
        <v>2.59</v>
      </c>
      <c r="N55" s="28">
        <v>5.27</v>
      </c>
      <c r="O55" s="26">
        <f t="shared" si="7"/>
        <v>1.6</v>
      </c>
      <c r="P55" s="27">
        <f t="shared" si="8"/>
        <v>0</v>
      </c>
      <c r="Q55" s="27">
        <f t="shared" si="9"/>
        <v>10</v>
      </c>
      <c r="R55" s="28">
        <f t="shared" si="10"/>
        <v>0</v>
      </c>
      <c r="S55" s="1"/>
      <c r="T55" s="82">
        <f t="shared" si="11"/>
        <v>1.758007140288275</v>
      </c>
      <c r="U55" s="27">
        <f t="shared" si="12"/>
        <v>0</v>
      </c>
      <c r="V55" s="27">
        <f t="shared" si="13"/>
        <v>10</v>
      </c>
      <c r="W55" s="28">
        <f t="shared" si="14"/>
        <v>0</v>
      </c>
      <c r="X55" s="1"/>
      <c r="Y55" s="1"/>
      <c r="Z55" s="1"/>
      <c r="AA55" s="1"/>
      <c r="AB55" s="1"/>
      <c r="AC55" s="1"/>
      <c r="AD55" s="1"/>
      <c r="AE55" s="1"/>
    </row>
    <row r="56" spans="2:31" ht="14.25" thickBot="1" thickTop="1">
      <c r="B56" s="1"/>
      <c r="D56" s="13" t="s">
        <v>55</v>
      </c>
      <c r="E56" s="14"/>
      <c r="F56" s="1"/>
      <c r="G56" s="70" t="s">
        <v>44</v>
      </c>
      <c r="H56" s="39"/>
      <c r="I56" s="39"/>
      <c r="J56" s="41"/>
      <c r="K56" s="1"/>
      <c r="L56" s="26">
        <v>11</v>
      </c>
      <c r="M56" s="27">
        <v>2.3</v>
      </c>
      <c r="N56" s="28">
        <v>4.15</v>
      </c>
      <c r="O56" s="26">
        <f t="shared" si="7"/>
        <v>1.6</v>
      </c>
      <c r="P56" s="27">
        <f t="shared" si="8"/>
        <v>0</v>
      </c>
      <c r="Q56" s="27">
        <f t="shared" si="9"/>
        <v>11</v>
      </c>
      <c r="R56" s="28">
        <f t="shared" si="10"/>
        <v>0</v>
      </c>
      <c r="S56" s="1"/>
      <c r="T56" s="82">
        <f t="shared" si="11"/>
        <v>1.758007140288275</v>
      </c>
      <c r="U56" s="27">
        <f t="shared" si="12"/>
        <v>0</v>
      </c>
      <c r="V56" s="27">
        <f t="shared" si="13"/>
        <v>11</v>
      </c>
      <c r="W56" s="28">
        <f t="shared" si="14"/>
        <v>0</v>
      </c>
      <c r="X56" s="1"/>
      <c r="Y56" s="1"/>
      <c r="Z56" s="1"/>
      <c r="AA56" s="1"/>
      <c r="AB56" s="1"/>
      <c r="AC56" s="1"/>
      <c r="AD56" s="1"/>
      <c r="AE56" s="1"/>
    </row>
    <row r="57" spans="1:31" ht="12.75">
      <c r="A57" s="34" t="s">
        <v>45</v>
      </c>
      <c r="B57" s="37"/>
      <c r="D57" s="17" t="s">
        <v>46</v>
      </c>
      <c r="E57" s="18">
        <f>2*B50*OHMSPEZ/(E48/18.49)</f>
        <v>5.2696499999999995</v>
      </c>
      <c r="F57" s="1"/>
      <c r="G57" s="72" t="s">
        <v>47</v>
      </c>
      <c r="H57" s="71"/>
      <c r="I57" s="71"/>
      <c r="J57" s="78">
        <f>W112</f>
        <v>10</v>
      </c>
      <c r="K57" s="1"/>
      <c r="L57" s="26">
        <v>12</v>
      </c>
      <c r="M57" s="27">
        <v>2.05</v>
      </c>
      <c r="N57" s="28">
        <v>3.31</v>
      </c>
      <c r="O57" s="26">
        <f t="shared" si="7"/>
        <v>1.6</v>
      </c>
      <c r="P57" s="27">
        <f t="shared" si="8"/>
        <v>0</v>
      </c>
      <c r="Q57" s="27">
        <f t="shared" si="9"/>
        <v>12</v>
      </c>
      <c r="R57" s="28">
        <f t="shared" si="10"/>
        <v>0</v>
      </c>
      <c r="S57" s="1"/>
      <c r="T57" s="82">
        <f t="shared" si="11"/>
        <v>1.758007140288275</v>
      </c>
      <c r="U57" s="27">
        <f t="shared" si="12"/>
        <v>0</v>
      </c>
      <c r="V57" s="27">
        <f t="shared" si="13"/>
        <v>12</v>
      </c>
      <c r="W57" s="28">
        <f t="shared" si="14"/>
        <v>0</v>
      </c>
      <c r="X57" s="1"/>
      <c r="Y57" s="1"/>
      <c r="Z57" s="1"/>
      <c r="AA57" s="1"/>
      <c r="AB57" s="1"/>
      <c r="AC57" s="1"/>
      <c r="AD57" s="1"/>
      <c r="AE57" s="1"/>
    </row>
    <row r="58" spans="1:31" ht="13.5" thickBot="1">
      <c r="A58" s="35" t="s">
        <v>48</v>
      </c>
      <c r="B58" s="38"/>
      <c r="D58" s="17" t="s">
        <v>49</v>
      </c>
      <c r="E58" s="18">
        <f>B49*(E48/18.49)/(2*OHMSPEZ)</f>
        <v>22.771910847969032</v>
      </c>
      <c r="F58" s="1"/>
      <c r="G58" s="72" t="s">
        <v>50</v>
      </c>
      <c r="H58" s="71"/>
      <c r="I58" s="71"/>
      <c r="J58" s="76">
        <f>E58*3.28</f>
        <v>74.69186758133841</v>
      </c>
      <c r="K58" s="1"/>
      <c r="L58" s="26">
        <v>13</v>
      </c>
      <c r="M58" s="27">
        <v>1.83</v>
      </c>
      <c r="N58" s="28">
        <v>2.63</v>
      </c>
      <c r="O58" s="26">
        <f t="shared" si="7"/>
        <v>1.6</v>
      </c>
      <c r="P58" s="27">
        <f t="shared" si="8"/>
        <v>0</v>
      </c>
      <c r="Q58" s="27">
        <f t="shared" si="9"/>
        <v>13</v>
      </c>
      <c r="R58" s="28">
        <f t="shared" si="10"/>
        <v>0</v>
      </c>
      <c r="S58" s="1"/>
      <c r="T58" s="82">
        <f t="shared" si="11"/>
        <v>1.758007140288275</v>
      </c>
      <c r="U58" s="27">
        <f t="shared" si="12"/>
        <v>0</v>
      </c>
      <c r="V58" s="27">
        <f t="shared" si="13"/>
        <v>13</v>
      </c>
      <c r="W58" s="28">
        <f t="shared" si="14"/>
        <v>0</v>
      </c>
      <c r="X58" s="1"/>
      <c r="Y58" s="1"/>
      <c r="Z58" s="1"/>
      <c r="AA58" s="1"/>
      <c r="AB58" s="1"/>
      <c r="AC58" s="1"/>
      <c r="AD58" s="1"/>
      <c r="AE58" s="1"/>
    </row>
    <row r="59" spans="2:31" ht="13.5" thickBot="1">
      <c r="B59" s="1"/>
      <c r="D59" s="17" t="s">
        <v>59</v>
      </c>
      <c r="E59" s="18">
        <f>SQRT(0.9)*E49/(1-SQRT(0.9))</f>
        <v>5.268747399443961</v>
      </c>
      <c r="F59" s="1"/>
      <c r="G59" s="73" t="s">
        <v>59</v>
      </c>
      <c r="H59" s="77"/>
      <c r="I59" s="74"/>
      <c r="J59" s="79">
        <f>E59</f>
        <v>5.268747399443961</v>
      </c>
      <c r="K59" s="1"/>
      <c r="L59" s="26">
        <v>14</v>
      </c>
      <c r="M59" s="27">
        <v>1.62</v>
      </c>
      <c r="N59" s="28">
        <v>2.08</v>
      </c>
      <c r="O59" s="26">
        <f t="shared" si="7"/>
        <v>1.6</v>
      </c>
      <c r="P59" s="27">
        <f t="shared" si="8"/>
        <v>0</v>
      </c>
      <c r="Q59" s="27">
        <f t="shared" si="9"/>
        <v>14</v>
      </c>
      <c r="R59" s="28">
        <f t="shared" si="10"/>
        <v>0</v>
      </c>
      <c r="S59" s="1"/>
      <c r="T59" s="82">
        <f t="shared" si="11"/>
        <v>1.758007140288275</v>
      </c>
      <c r="U59" s="27">
        <f t="shared" si="12"/>
        <v>0</v>
      </c>
      <c r="V59" s="27">
        <f t="shared" si="13"/>
        <v>0</v>
      </c>
      <c r="W59" s="28">
        <f t="shared" si="14"/>
        <v>14</v>
      </c>
      <c r="X59" s="1"/>
      <c r="Y59" s="1"/>
      <c r="Z59" s="1"/>
      <c r="AA59" s="1"/>
      <c r="AB59" s="1"/>
      <c r="AC59" s="1"/>
      <c r="AD59" s="1"/>
      <c r="AE59" s="1"/>
    </row>
    <row r="60" spans="1:31" ht="13.5" thickBot="1">
      <c r="A60" s="32"/>
      <c r="B60" s="21"/>
      <c r="C60" s="21"/>
      <c r="D60" s="21"/>
      <c r="E60" s="21"/>
      <c r="F60" s="21"/>
      <c r="G60" s="21"/>
      <c r="H60" s="21"/>
      <c r="I60" s="21"/>
      <c r="J60" s="31"/>
      <c r="K60" s="1"/>
      <c r="L60" s="26">
        <v>15</v>
      </c>
      <c r="M60" s="27">
        <v>1.45</v>
      </c>
      <c r="N60" s="28">
        <v>1.65</v>
      </c>
      <c r="O60" s="26">
        <f t="shared" si="7"/>
        <v>1.6</v>
      </c>
      <c r="P60" s="27">
        <f t="shared" si="8"/>
        <v>0</v>
      </c>
      <c r="Q60" s="27">
        <f t="shared" si="9"/>
        <v>0</v>
      </c>
      <c r="R60" s="28">
        <f t="shared" si="10"/>
        <v>15</v>
      </c>
      <c r="S60" s="1"/>
      <c r="T60" s="82">
        <f t="shared" si="11"/>
        <v>1.758007140288275</v>
      </c>
      <c r="U60" s="27">
        <f t="shared" si="12"/>
        <v>15</v>
      </c>
      <c r="V60" s="27">
        <f t="shared" si="13"/>
        <v>0</v>
      </c>
      <c r="W60" s="28">
        <f t="shared" si="14"/>
        <v>0</v>
      </c>
      <c r="X60" s="1"/>
      <c r="Y60" s="1"/>
      <c r="Z60" s="1"/>
      <c r="AA60" s="1"/>
      <c r="AB60" s="1"/>
      <c r="AC60" s="1"/>
      <c r="AD60" s="1"/>
      <c r="AE60" s="1"/>
    </row>
    <row r="61" spans="2:31" ht="12.75">
      <c r="B61" s="1"/>
      <c r="F61" s="1"/>
      <c r="G61" s="1"/>
      <c r="H61" s="1"/>
      <c r="I61" s="1"/>
      <c r="J61" s="1"/>
      <c r="K61" s="1"/>
      <c r="L61" s="26">
        <v>16</v>
      </c>
      <c r="M61" s="27">
        <v>1.29</v>
      </c>
      <c r="N61" s="28">
        <v>1.31</v>
      </c>
      <c r="O61" s="26">
        <f t="shared" si="7"/>
        <v>1.6</v>
      </c>
      <c r="P61" s="27">
        <f t="shared" si="8"/>
        <v>16</v>
      </c>
      <c r="Q61" s="27">
        <f t="shared" si="9"/>
        <v>0</v>
      </c>
      <c r="R61" s="28">
        <f t="shared" si="10"/>
        <v>0</v>
      </c>
      <c r="S61" s="1"/>
      <c r="T61" s="82">
        <f t="shared" si="11"/>
        <v>1.758007140288275</v>
      </c>
      <c r="U61" s="27">
        <f t="shared" si="12"/>
        <v>16</v>
      </c>
      <c r="V61" s="27">
        <f t="shared" si="13"/>
        <v>0</v>
      </c>
      <c r="W61" s="28">
        <f t="shared" si="14"/>
        <v>0</v>
      </c>
      <c r="X61" s="1"/>
      <c r="Y61" s="1"/>
      <c r="Z61" s="1"/>
      <c r="AA61" s="1"/>
      <c r="AB61" s="1"/>
      <c r="AC61" s="1"/>
      <c r="AD61" s="1"/>
      <c r="AE61" s="1"/>
    </row>
    <row r="62" spans="2:31" ht="12.75">
      <c r="B62" s="1"/>
      <c r="F62" s="1"/>
      <c r="G62" s="1"/>
      <c r="H62" s="1"/>
      <c r="I62" s="1"/>
      <c r="J62" s="1"/>
      <c r="K62" s="1"/>
      <c r="L62" s="26">
        <v>17</v>
      </c>
      <c r="M62" s="27">
        <v>1.15</v>
      </c>
      <c r="N62" s="28">
        <v>1.04</v>
      </c>
      <c r="O62" s="26">
        <f t="shared" si="7"/>
        <v>1.6</v>
      </c>
      <c r="P62" s="27">
        <f t="shared" si="8"/>
        <v>17</v>
      </c>
      <c r="Q62" s="27">
        <f t="shared" si="9"/>
        <v>0</v>
      </c>
      <c r="R62" s="28">
        <f t="shared" si="10"/>
        <v>0</v>
      </c>
      <c r="S62" s="1"/>
      <c r="T62" s="82">
        <f t="shared" si="11"/>
        <v>1.758007140288275</v>
      </c>
      <c r="U62" s="27">
        <f t="shared" si="12"/>
        <v>17</v>
      </c>
      <c r="V62" s="27">
        <f t="shared" si="13"/>
        <v>0</v>
      </c>
      <c r="W62" s="28">
        <f t="shared" si="14"/>
        <v>0</v>
      </c>
      <c r="X62" s="1"/>
      <c r="Y62" s="1"/>
      <c r="Z62" s="1"/>
      <c r="AA62" s="1"/>
      <c r="AB62" s="1"/>
      <c r="AC62" s="1"/>
      <c r="AD62" s="1"/>
      <c r="AE62" s="1"/>
    </row>
    <row r="63" spans="2:31" ht="12.75">
      <c r="B63" s="1"/>
      <c r="F63" s="1"/>
      <c r="G63" s="1"/>
      <c r="H63" s="1"/>
      <c r="I63" s="1"/>
      <c r="J63" s="1"/>
      <c r="K63" s="1"/>
      <c r="L63" s="26">
        <v>18</v>
      </c>
      <c r="M63" s="27">
        <v>1.024</v>
      </c>
      <c r="N63" s="28">
        <v>0.823</v>
      </c>
      <c r="O63" s="26">
        <f t="shared" si="7"/>
        <v>1.6</v>
      </c>
      <c r="P63" s="27">
        <f t="shared" si="8"/>
        <v>18</v>
      </c>
      <c r="Q63" s="27">
        <f t="shared" si="9"/>
        <v>0</v>
      </c>
      <c r="R63" s="28">
        <f t="shared" si="10"/>
        <v>0</v>
      </c>
      <c r="S63" s="1"/>
      <c r="T63" s="82">
        <f t="shared" si="11"/>
        <v>1.758007140288275</v>
      </c>
      <c r="U63" s="27">
        <f t="shared" si="12"/>
        <v>18</v>
      </c>
      <c r="V63" s="27">
        <f t="shared" si="13"/>
        <v>0</v>
      </c>
      <c r="W63" s="28">
        <f t="shared" si="14"/>
        <v>0</v>
      </c>
      <c r="X63" s="1"/>
      <c r="Y63" s="1"/>
      <c r="Z63" s="1"/>
      <c r="AA63" s="1"/>
      <c r="AB63" s="1"/>
      <c r="AC63" s="1"/>
      <c r="AD63" s="1"/>
      <c r="AE63" s="1"/>
    </row>
    <row r="64" spans="2:31" ht="12.75">
      <c r="B64" s="1"/>
      <c r="F64" s="1"/>
      <c r="G64" s="1"/>
      <c r="H64" s="1"/>
      <c r="I64" s="1"/>
      <c r="J64" s="1"/>
      <c r="K64" s="1"/>
      <c r="L64" s="26">
        <v>19</v>
      </c>
      <c r="M64" s="27">
        <v>0.912</v>
      </c>
      <c r="N64" s="28">
        <v>0.653</v>
      </c>
      <c r="O64" s="26">
        <f t="shared" si="7"/>
        <v>1.6</v>
      </c>
      <c r="P64" s="27">
        <f t="shared" si="8"/>
        <v>19</v>
      </c>
      <c r="Q64" s="27">
        <f t="shared" si="9"/>
        <v>0</v>
      </c>
      <c r="R64" s="28">
        <f t="shared" si="10"/>
        <v>0</v>
      </c>
      <c r="S64" s="1"/>
      <c r="T64" s="82">
        <f t="shared" si="11"/>
        <v>1.758007140288275</v>
      </c>
      <c r="U64" s="27">
        <f t="shared" si="12"/>
        <v>19</v>
      </c>
      <c r="V64" s="27">
        <f t="shared" si="13"/>
        <v>0</v>
      </c>
      <c r="W64" s="28">
        <f t="shared" si="14"/>
        <v>0</v>
      </c>
      <c r="X64" s="1"/>
      <c r="Y64" s="1"/>
      <c r="Z64" s="1"/>
      <c r="AA64" s="1"/>
      <c r="AB64" s="1"/>
      <c r="AC64" s="1"/>
      <c r="AD64" s="1"/>
      <c r="AE64" s="1"/>
    </row>
    <row r="65" spans="2:31" ht="12.75">
      <c r="B65" s="1"/>
      <c r="F65" s="1"/>
      <c r="G65" s="1"/>
      <c r="H65" s="1"/>
      <c r="I65" s="1"/>
      <c r="J65" s="1"/>
      <c r="K65" s="1"/>
      <c r="L65" s="26">
        <v>20</v>
      </c>
      <c r="M65" s="27">
        <v>0.812</v>
      </c>
      <c r="N65" s="28">
        <v>0.519</v>
      </c>
      <c r="O65" s="26">
        <f t="shared" si="7"/>
        <v>1.6</v>
      </c>
      <c r="P65" s="27">
        <f t="shared" si="8"/>
        <v>20</v>
      </c>
      <c r="Q65" s="27">
        <f t="shared" si="9"/>
        <v>0</v>
      </c>
      <c r="R65" s="28">
        <f>IF((P65+Q65)=0,L65,0)</f>
        <v>0</v>
      </c>
      <c r="S65" s="1"/>
      <c r="T65" s="82">
        <f t="shared" si="11"/>
        <v>1.758007140288275</v>
      </c>
      <c r="U65" s="27">
        <f t="shared" si="12"/>
        <v>20</v>
      </c>
      <c r="V65" s="27">
        <f t="shared" si="13"/>
        <v>0</v>
      </c>
      <c r="W65" s="28">
        <f t="shared" si="14"/>
        <v>0</v>
      </c>
      <c r="X65" s="1"/>
      <c r="Y65" s="1"/>
      <c r="Z65" s="1"/>
      <c r="AA65" s="1"/>
      <c r="AB65" s="1"/>
      <c r="AC65" s="1"/>
      <c r="AD65" s="1"/>
      <c r="AE65" s="1"/>
    </row>
    <row r="66" spans="2:31" ht="12.75">
      <c r="B66" s="1"/>
      <c r="F66" s="1"/>
      <c r="G66" s="1"/>
      <c r="H66" s="1"/>
      <c r="I66" s="1"/>
      <c r="J66" s="1"/>
      <c r="K66" s="1"/>
      <c r="L66" s="26">
        <v>21</v>
      </c>
      <c r="M66" s="27">
        <v>0.723</v>
      </c>
      <c r="N66" s="28">
        <v>0.412</v>
      </c>
      <c r="O66" s="26">
        <f t="shared" si="7"/>
        <v>1.6</v>
      </c>
      <c r="P66" s="27">
        <f t="shared" si="8"/>
        <v>21</v>
      </c>
      <c r="Q66" s="27">
        <f t="shared" si="9"/>
        <v>0</v>
      </c>
      <c r="R66" s="28">
        <f aca="true" t="shared" si="15" ref="R66:R75">IF((P66+Q66)=0,L66,0)</f>
        <v>0</v>
      </c>
      <c r="S66" s="1"/>
      <c r="T66" s="82">
        <f t="shared" si="11"/>
        <v>1.758007140288275</v>
      </c>
      <c r="U66" s="27">
        <f t="shared" si="12"/>
        <v>21</v>
      </c>
      <c r="V66" s="27">
        <f t="shared" si="13"/>
        <v>0</v>
      </c>
      <c r="W66" s="28">
        <f t="shared" si="14"/>
        <v>0</v>
      </c>
      <c r="X66" s="1"/>
      <c r="Y66" s="1"/>
      <c r="Z66" s="1"/>
      <c r="AA66" s="1"/>
      <c r="AB66" s="1"/>
      <c r="AC66" s="1"/>
      <c r="AD66" s="1"/>
      <c r="AE66" s="1"/>
    </row>
    <row r="67" spans="2:31" ht="12.75">
      <c r="B67" s="1"/>
      <c r="F67" s="1"/>
      <c r="G67" s="1"/>
      <c r="H67" s="1"/>
      <c r="I67" s="1"/>
      <c r="J67" s="1"/>
      <c r="K67" s="1"/>
      <c r="L67" s="26">
        <v>22</v>
      </c>
      <c r="M67" s="27">
        <v>0.644</v>
      </c>
      <c r="N67" s="28">
        <v>0.325</v>
      </c>
      <c r="O67" s="26">
        <f t="shared" si="7"/>
        <v>1.6</v>
      </c>
      <c r="P67" s="27">
        <f t="shared" si="8"/>
        <v>22</v>
      </c>
      <c r="Q67" s="27">
        <f t="shared" si="9"/>
        <v>0</v>
      </c>
      <c r="R67" s="28">
        <f t="shared" si="15"/>
        <v>0</v>
      </c>
      <c r="S67" s="1"/>
      <c r="T67" s="82">
        <f t="shared" si="11"/>
        <v>1.758007140288275</v>
      </c>
      <c r="U67" s="27">
        <f t="shared" si="12"/>
        <v>22</v>
      </c>
      <c r="V67" s="27">
        <f t="shared" si="13"/>
        <v>0</v>
      </c>
      <c r="W67" s="28">
        <f t="shared" si="14"/>
        <v>0</v>
      </c>
      <c r="X67" s="1"/>
      <c r="Y67" s="1"/>
      <c r="Z67" s="1"/>
      <c r="AA67" s="1"/>
      <c r="AB67" s="1"/>
      <c r="AC67" s="1"/>
      <c r="AD67" s="1"/>
      <c r="AE67" s="1"/>
    </row>
    <row r="68" spans="2:31" ht="12.75">
      <c r="B68" s="1"/>
      <c r="F68" s="1"/>
      <c r="G68" s="1"/>
      <c r="H68" s="1"/>
      <c r="I68" s="1"/>
      <c r="J68" s="1"/>
      <c r="K68" s="1"/>
      <c r="L68" s="26">
        <v>23</v>
      </c>
      <c r="M68" s="27">
        <v>0.573</v>
      </c>
      <c r="N68" s="28">
        <v>0.259</v>
      </c>
      <c r="O68" s="26">
        <f t="shared" si="7"/>
        <v>1.6</v>
      </c>
      <c r="P68" s="27">
        <f t="shared" si="8"/>
        <v>23</v>
      </c>
      <c r="Q68" s="27">
        <f t="shared" si="9"/>
        <v>0</v>
      </c>
      <c r="R68" s="28">
        <f t="shared" si="15"/>
        <v>0</v>
      </c>
      <c r="S68" s="1"/>
      <c r="T68" s="82">
        <f t="shared" si="11"/>
        <v>1.758007140288275</v>
      </c>
      <c r="U68" s="27">
        <f t="shared" si="12"/>
        <v>23</v>
      </c>
      <c r="V68" s="27">
        <f t="shared" si="13"/>
        <v>0</v>
      </c>
      <c r="W68" s="28">
        <f t="shared" si="14"/>
        <v>0</v>
      </c>
      <c r="X68" s="1"/>
      <c r="Y68" s="1"/>
      <c r="Z68" s="1"/>
      <c r="AA68" s="1"/>
      <c r="AB68" s="1"/>
      <c r="AC68" s="1"/>
      <c r="AD68" s="1"/>
      <c r="AE68" s="1"/>
    </row>
    <row r="69" spans="2:31" ht="12.75">
      <c r="B69" s="1"/>
      <c r="F69" s="1"/>
      <c r="G69" s="1"/>
      <c r="H69" s="1"/>
      <c r="I69" s="1"/>
      <c r="J69" s="1"/>
      <c r="K69" s="1"/>
      <c r="L69" s="26">
        <v>24</v>
      </c>
      <c r="M69" s="27">
        <v>0.511</v>
      </c>
      <c r="N69" s="28">
        <v>0.205</v>
      </c>
      <c r="O69" s="26">
        <f t="shared" si="7"/>
        <v>1.6</v>
      </c>
      <c r="P69" s="27">
        <f t="shared" si="8"/>
        <v>24</v>
      </c>
      <c r="Q69" s="27">
        <f t="shared" si="9"/>
        <v>0</v>
      </c>
      <c r="R69" s="28">
        <f t="shared" si="15"/>
        <v>0</v>
      </c>
      <c r="S69" s="1"/>
      <c r="T69" s="82">
        <f t="shared" si="11"/>
        <v>1.758007140288275</v>
      </c>
      <c r="U69" s="27">
        <f t="shared" si="12"/>
        <v>24</v>
      </c>
      <c r="V69" s="27">
        <f t="shared" si="13"/>
        <v>0</v>
      </c>
      <c r="W69" s="28">
        <f t="shared" si="14"/>
        <v>0</v>
      </c>
      <c r="X69" s="1"/>
      <c r="Y69" s="1"/>
      <c r="Z69" s="1"/>
      <c r="AA69" s="1"/>
      <c r="AB69" s="1"/>
      <c r="AC69" s="1"/>
      <c r="AD69" s="1"/>
      <c r="AE69" s="1"/>
    </row>
    <row r="70" spans="2:31" ht="12.75">
      <c r="B70" s="1"/>
      <c r="F70" s="1"/>
      <c r="G70" s="1"/>
      <c r="H70" s="1"/>
      <c r="I70" s="1"/>
      <c r="J70" s="1"/>
      <c r="K70" s="1"/>
      <c r="L70" s="26">
        <v>25</v>
      </c>
      <c r="M70" s="27">
        <v>0.455</v>
      </c>
      <c r="N70" s="28">
        <v>0.163</v>
      </c>
      <c r="O70" s="26">
        <f t="shared" si="7"/>
        <v>1.6</v>
      </c>
      <c r="P70" s="27">
        <f t="shared" si="8"/>
        <v>25</v>
      </c>
      <c r="Q70" s="27">
        <f t="shared" si="9"/>
        <v>0</v>
      </c>
      <c r="R70" s="28">
        <f t="shared" si="15"/>
        <v>0</v>
      </c>
      <c r="S70" s="1"/>
      <c r="T70" s="82">
        <f t="shared" si="11"/>
        <v>1.758007140288275</v>
      </c>
      <c r="U70" s="27">
        <f t="shared" si="12"/>
        <v>25</v>
      </c>
      <c r="V70" s="27">
        <f t="shared" si="13"/>
        <v>0</v>
      </c>
      <c r="W70" s="28">
        <f t="shared" si="14"/>
        <v>0</v>
      </c>
      <c r="X70" s="1"/>
      <c r="Y70" s="1"/>
      <c r="Z70" s="1"/>
      <c r="AA70" s="1"/>
      <c r="AB70" s="1"/>
      <c r="AC70" s="1"/>
      <c r="AD70" s="1"/>
      <c r="AE70" s="1"/>
    </row>
    <row r="71" spans="2:31" ht="12.75">
      <c r="B71" s="1"/>
      <c r="F71" s="1"/>
      <c r="G71" s="1"/>
      <c r="H71" s="1"/>
      <c r="I71" s="1"/>
      <c r="J71" s="1"/>
      <c r="K71" s="1"/>
      <c r="L71" s="26">
        <v>26</v>
      </c>
      <c r="M71" s="27">
        <v>0.405</v>
      </c>
      <c r="N71" s="28">
        <v>0.128</v>
      </c>
      <c r="O71" s="26">
        <f t="shared" si="7"/>
        <v>1.6</v>
      </c>
      <c r="P71" s="27">
        <f t="shared" si="8"/>
        <v>26</v>
      </c>
      <c r="Q71" s="27">
        <f t="shared" si="9"/>
        <v>0</v>
      </c>
      <c r="R71" s="28">
        <f t="shared" si="15"/>
        <v>0</v>
      </c>
      <c r="S71" s="1"/>
      <c r="T71" s="82">
        <f t="shared" si="11"/>
        <v>1.758007140288275</v>
      </c>
      <c r="U71" s="27">
        <f t="shared" si="12"/>
        <v>26</v>
      </c>
      <c r="V71" s="27">
        <f t="shared" si="13"/>
        <v>0</v>
      </c>
      <c r="W71" s="28">
        <f t="shared" si="14"/>
        <v>0</v>
      </c>
      <c r="X71" s="1"/>
      <c r="Y71" s="1"/>
      <c r="Z71" s="1"/>
      <c r="AA71" s="1"/>
      <c r="AB71" s="1"/>
      <c r="AC71" s="1"/>
      <c r="AD71" s="1"/>
      <c r="AE71" s="1"/>
    </row>
    <row r="72" spans="2:31" ht="12.75">
      <c r="B72" s="1"/>
      <c r="F72" s="1"/>
      <c r="G72" s="1"/>
      <c r="H72" s="1"/>
      <c r="I72" s="1"/>
      <c r="J72" s="1"/>
      <c r="K72" s="1"/>
      <c r="L72" s="26">
        <v>27</v>
      </c>
      <c r="M72" s="27">
        <v>0.361</v>
      </c>
      <c r="N72" s="28">
        <v>0.102</v>
      </c>
      <c r="O72" s="26">
        <f t="shared" si="7"/>
        <v>1.6</v>
      </c>
      <c r="P72" s="27">
        <f t="shared" si="8"/>
        <v>27</v>
      </c>
      <c r="Q72" s="27">
        <f t="shared" si="9"/>
        <v>0</v>
      </c>
      <c r="R72" s="28">
        <f t="shared" si="15"/>
        <v>0</v>
      </c>
      <c r="S72" s="1"/>
      <c r="T72" s="82">
        <f t="shared" si="11"/>
        <v>1.758007140288275</v>
      </c>
      <c r="U72" s="27">
        <f t="shared" si="12"/>
        <v>27</v>
      </c>
      <c r="V72" s="27">
        <f t="shared" si="13"/>
        <v>0</v>
      </c>
      <c r="W72" s="28">
        <f t="shared" si="14"/>
        <v>0</v>
      </c>
      <c r="X72" s="1"/>
      <c r="Y72" s="1"/>
      <c r="Z72" s="1"/>
      <c r="AA72" s="1"/>
      <c r="AB72" s="1"/>
      <c r="AC72" s="1"/>
      <c r="AD72" s="1"/>
      <c r="AE72" s="1"/>
    </row>
    <row r="73" spans="2:31" ht="12.75">
      <c r="B73" s="1"/>
      <c r="F73" s="1"/>
      <c r="G73" s="1"/>
      <c r="H73" s="1"/>
      <c r="I73" s="1"/>
      <c r="J73" s="1"/>
      <c r="K73" s="1"/>
      <c r="L73" s="26">
        <v>28</v>
      </c>
      <c r="M73" s="27">
        <v>0.321</v>
      </c>
      <c r="N73" s="28">
        <v>0.0804</v>
      </c>
      <c r="O73" s="26">
        <f t="shared" si="7"/>
        <v>1.6</v>
      </c>
      <c r="P73" s="27">
        <f t="shared" si="8"/>
        <v>28</v>
      </c>
      <c r="Q73" s="27">
        <f t="shared" si="9"/>
        <v>0</v>
      </c>
      <c r="R73" s="28">
        <f t="shared" si="15"/>
        <v>0</v>
      </c>
      <c r="S73" s="1"/>
      <c r="T73" s="82">
        <f t="shared" si="11"/>
        <v>1.758007140288275</v>
      </c>
      <c r="U73" s="27">
        <f t="shared" si="12"/>
        <v>28</v>
      </c>
      <c r="V73" s="27">
        <f t="shared" si="13"/>
        <v>0</v>
      </c>
      <c r="W73" s="28">
        <f t="shared" si="14"/>
        <v>0</v>
      </c>
      <c r="X73" s="1"/>
      <c r="Y73" s="1"/>
      <c r="Z73" s="1"/>
      <c r="AA73" s="1"/>
      <c r="AB73" s="1"/>
      <c r="AC73" s="1"/>
      <c r="AD73" s="1"/>
      <c r="AE73" s="1"/>
    </row>
    <row r="74" spans="2:31" ht="12.75">
      <c r="B74" s="1"/>
      <c r="F74" s="1"/>
      <c r="G74" s="1"/>
      <c r="H74" s="1"/>
      <c r="I74" s="1"/>
      <c r="J74" s="1"/>
      <c r="K74" s="1"/>
      <c r="L74" s="26">
        <v>29</v>
      </c>
      <c r="M74" s="27">
        <v>0.286</v>
      </c>
      <c r="N74" s="28">
        <v>0.0646</v>
      </c>
      <c r="O74" s="26">
        <f t="shared" si="7"/>
        <v>1.6</v>
      </c>
      <c r="P74" s="27">
        <f t="shared" si="8"/>
        <v>29</v>
      </c>
      <c r="Q74" s="27">
        <f t="shared" si="9"/>
        <v>0</v>
      </c>
      <c r="R74" s="28">
        <f t="shared" si="15"/>
        <v>0</v>
      </c>
      <c r="S74" s="1"/>
      <c r="T74" s="82">
        <f t="shared" si="11"/>
        <v>1.758007140288275</v>
      </c>
      <c r="U74" s="27">
        <f t="shared" si="12"/>
        <v>29</v>
      </c>
      <c r="V74" s="27">
        <f t="shared" si="13"/>
        <v>0</v>
      </c>
      <c r="W74" s="28">
        <f t="shared" si="14"/>
        <v>0</v>
      </c>
      <c r="X74" s="1"/>
      <c r="Y74" s="1"/>
      <c r="Z74" s="1"/>
      <c r="AA74" s="1"/>
      <c r="AB74" s="1"/>
      <c r="AC74" s="1"/>
      <c r="AD74" s="1"/>
      <c r="AE74" s="1"/>
    </row>
    <row r="75" spans="2:31" ht="13.5" thickBot="1">
      <c r="B75" s="1"/>
      <c r="F75" s="1"/>
      <c r="G75" s="1"/>
      <c r="H75" s="1"/>
      <c r="I75" s="1"/>
      <c r="J75" s="1"/>
      <c r="K75" s="1"/>
      <c r="L75" s="29">
        <v>30</v>
      </c>
      <c r="M75" s="30">
        <v>0.255</v>
      </c>
      <c r="N75" s="31">
        <v>0.0503</v>
      </c>
      <c r="O75" s="29">
        <f t="shared" si="7"/>
        <v>1.6</v>
      </c>
      <c r="P75" s="30">
        <f t="shared" si="8"/>
        <v>30</v>
      </c>
      <c r="Q75" s="30">
        <f>IF(O75&gt;N79,0,L75)</f>
        <v>0</v>
      </c>
      <c r="R75" s="31">
        <f t="shared" si="15"/>
        <v>0</v>
      </c>
      <c r="S75" s="1"/>
      <c r="T75" s="82">
        <f t="shared" si="11"/>
        <v>1.758007140288275</v>
      </c>
      <c r="U75" s="27">
        <f t="shared" si="12"/>
        <v>30</v>
      </c>
      <c r="V75" s="27">
        <f t="shared" si="13"/>
        <v>0</v>
      </c>
      <c r="W75" s="28">
        <f t="shared" si="14"/>
        <v>0</v>
      </c>
      <c r="X75" s="1"/>
      <c r="Y75" s="1"/>
      <c r="Z75" s="1"/>
      <c r="AA75" s="1"/>
      <c r="AB75" s="1"/>
      <c r="AC75" s="1"/>
      <c r="AD75" s="1"/>
      <c r="AE75" s="1"/>
    </row>
    <row r="76" spans="2:31" ht="13.5" thickBot="1">
      <c r="B76" s="1"/>
      <c r="F76" s="1"/>
      <c r="G76" s="1"/>
      <c r="H76" s="1"/>
      <c r="I76" s="1"/>
      <c r="J76" s="1"/>
      <c r="K76" s="1"/>
      <c r="L76" s="65"/>
      <c r="M76" s="65"/>
      <c r="N76" s="6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3.5" thickBot="1">
      <c r="B77" s="1"/>
      <c r="F77" s="1"/>
      <c r="G77" s="1"/>
      <c r="H77" s="1"/>
      <c r="I77" s="1"/>
      <c r="J77" s="1"/>
      <c r="K77" s="1"/>
      <c r="L77" s="65"/>
      <c r="M77" s="65"/>
      <c r="N77" s="65"/>
      <c r="O77" s="1"/>
      <c r="P77" s="1"/>
      <c r="Q77" s="36" t="s">
        <v>5</v>
      </c>
      <c r="R77" s="63">
        <f>SUM(R46:R75)</f>
        <v>15</v>
      </c>
      <c r="S77" s="1"/>
      <c r="T77" s="1"/>
      <c r="U77" s="1"/>
      <c r="V77" s="42" t="s">
        <v>5</v>
      </c>
      <c r="W77" s="62">
        <f>SUM(W46:W75)</f>
        <v>14</v>
      </c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F78" s="1"/>
      <c r="G78" s="1"/>
      <c r="H78" s="1"/>
      <c r="I78" s="1"/>
      <c r="J78" s="1"/>
      <c r="K78" s="1"/>
      <c r="L78" s="65"/>
      <c r="M78" s="65"/>
      <c r="N78" s="6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3.5" thickBot="1">
      <c r="B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3.5" thickBot="1">
      <c r="B80" s="1"/>
      <c r="F80" s="1"/>
      <c r="G80" s="1"/>
      <c r="H80" s="1"/>
      <c r="I80" s="1"/>
      <c r="J80" s="1"/>
      <c r="K80" s="1"/>
      <c r="L80" s="32" t="s">
        <v>5</v>
      </c>
      <c r="M80" s="21" t="s">
        <v>6</v>
      </c>
      <c r="N80" s="22" t="s">
        <v>7</v>
      </c>
      <c r="O80" s="23"/>
      <c r="P80" s="24"/>
      <c r="Q80" s="24"/>
      <c r="R80" s="25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F81" s="1"/>
      <c r="G81" s="1"/>
      <c r="H81" s="1"/>
      <c r="I81" s="1"/>
      <c r="J81" s="1"/>
      <c r="K81" s="1"/>
      <c r="L81" s="26">
        <v>1</v>
      </c>
      <c r="M81" s="27">
        <v>7.35</v>
      </c>
      <c r="N81" s="28">
        <v>42.4</v>
      </c>
      <c r="O81" s="66">
        <f aca="true" t="shared" si="16" ref="O81:O110">$B$49</f>
        <v>4</v>
      </c>
      <c r="P81" s="27">
        <f>IF(O81&gt;N81,L81,0)</f>
        <v>0</v>
      </c>
      <c r="Q81" s="27">
        <f>IF(O81&gt;N82,0,L81)</f>
        <v>1</v>
      </c>
      <c r="R81" s="28">
        <f>IF((P81+Q81)=0,L81,0)</f>
        <v>0</v>
      </c>
      <c r="S81" s="1"/>
      <c r="T81" s="82">
        <f>$E$57</f>
        <v>5.2696499999999995</v>
      </c>
      <c r="U81" s="27">
        <f>IF((T81&gt;N81),L81,0)</f>
        <v>0</v>
      </c>
      <c r="V81" s="27">
        <f>IF((T81&gt;N82),0,L81)</f>
        <v>1</v>
      </c>
      <c r="W81" s="28">
        <f>IF((U81+V81)=0,L81,0)</f>
        <v>0</v>
      </c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F82" s="1"/>
      <c r="G82" s="1"/>
      <c r="H82" s="1"/>
      <c r="I82" s="1"/>
      <c r="J82" s="1"/>
      <c r="K82" s="1"/>
      <c r="L82" s="26">
        <v>2</v>
      </c>
      <c r="M82" s="27">
        <v>6.54</v>
      </c>
      <c r="N82" s="28">
        <v>33.6</v>
      </c>
      <c r="O82" s="26">
        <f t="shared" si="16"/>
        <v>4</v>
      </c>
      <c r="P82" s="27">
        <f aca="true" t="shared" si="17" ref="P82:P110">IF(O82&gt;N82,L82,0)</f>
        <v>0</v>
      </c>
      <c r="Q82" s="27">
        <f aca="true" t="shared" si="18" ref="Q82:Q110">IF(O82&gt;N83,0,L82)</f>
        <v>2</v>
      </c>
      <c r="R82" s="28">
        <f aca="true" t="shared" si="19" ref="R82:R99">IF((P82+Q82)=0,L82,0)</f>
        <v>0</v>
      </c>
      <c r="S82" s="1"/>
      <c r="T82" s="82">
        <f aca="true" t="shared" si="20" ref="T82:T110">$E$57</f>
        <v>5.2696499999999995</v>
      </c>
      <c r="U82" s="27">
        <f aca="true" t="shared" si="21" ref="U82:U110">IF((T82&gt;N82),L82,0)</f>
        <v>0</v>
      </c>
      <c r="V82" s="27">
        <f aca="true" t="shared" si="22" ref="V82:V110">IF((T82&gt;N83),0,L82)</f>
        <v>2</v>
      </c>
      <c r="W82" s="28">
        <f aca="true" t="shared" si="23" ref="W82:W110">IF((U82+V82)=0,L82,0)</f>
        <v>0</v>
      </c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F83" s="1"/>
      <c r="G83" s="1"/>
      <c r="H83" s="1"/>
      <c r="I83" s="1"/>
      <c r="J83" s="1"/>
      <c r="K83" s="1"/>
      <c r="L83" s="26">
        <v>3</v>
      </c>
      <c r="M83" s="27">
        <v>5.82</v>
      </c>
      <c r="N83" s="28">
        <v>26.6</v>
      </c>
      <c r="O83" s="26">
        <f t="shared" si="16"/>
        <v>4</v>
      </c>
      <c r="P83" s="27">
        <f t="shared" si="17"/>
        <v>0</v>
      </c>
      <c r="Q83" s="27">
        <f t="shared" si="18"/>
        <v>3</v>
      </c>
      <c r="R83" s="28">
        <f t="shared" si="19"/>
        <v>0</v>
      </c>
      <c r="S83" s="1"/>
      <c r="T83" s="82">
        <f t="shared" si="20"/>
        <v>5.2696499999999995</v>
      </c>
      <c r="U83" s="27">
        <f t="shared" si="21"/>
        <v>0</v>
      </c>
      <c r="V83" s="27">
        <f t="shared" si="22"/>
        <v>3</v>
      </c>
      <c r="W83" s="28">
        <f t="shared" si="23"/>
        <v>0</v>
      </c>
      <c r="X83" s="1"/>
      <c r="Y83" s="1"/>
      <c r="Z83" s="1"/>
      <c r="AA83" s="1"/>
      <c r="AB83" s="1"/>
      <c r="AC83" s="1"/>
      <c r="AD83" s="1"/>
      <c r="AE83" s="1"/>
    </row>
    <row r="84" spans="2:31" ht="12.75">
      <c r="B84" s="1"/>
      <c r="F84" s="1"/>
      <c r="G84" s="1"/>
      <c r="H84" s="1"/>
      <c r="I84" s="1"/>
      <c r="J84" s="1"/>
      <c r="K84" s="1"/>
      <c r="L84" s="26">
        <v>4</v>
      </c>
      <c r="M84" s="27">
        <v>5.19</v>
      </c>
      <c r="N84" s="28">
        <v>21.2</v>
      </c>
      <c r="O84" s="26">
        <f t="shared" si="16"/>
        <v>4</v>
      </c>
      <c r="P84" s="27">
        <f t="shared" si="17"/>
        <v>0</v>
      </c>
      <c r="Q84" s="27">
        <f t="shared" si="18"/>
        <v>4</v>
      </c>
      <c r="R84" s="28">
        <f t="shared" si="19"/>
        <v>0</v>
      </c>
      <c r="S84" s="1"/>
      <c r="T84" s="82">
        <f t="shared" si="20"/>
        <v>5.2696499999999995</v>
      </c>
      <c r="U84" s="27">
        <f t="shared" si="21"/>
        <v>0</v>
      </c>
      <c r="V84" s="27">
        <f t="shared" si="22"/>
        <v>4</v>
      </c>
      <c r="W84" s="28">
        <f t="shared" si="23"/>
        <v>0</v>
      </c>
      <c r="X84" s="1"/>
      <c r="Y84" s="1"/>
      <c r="Z84" s="1"/>
      <c r="AA84" s="1"/>
      <c r="AB84" s="1"/>
      <c r="AC84" s="1"/>
      <c r="AD84" s="1"/>
      <c r="AE84" s="1"/>
    </row>
    <row r="85" spans="2:31" ht="12.75">
      <c r="B85" s="1"/>
      <c r="F85" s="1"/>
      <c r="G85" s="1"/>
      <c r="H85" s="1"/>
      <c r="I85" s="1"/>
      <c r="J85" s="1"/>
      <c r="K85" s="1"/>
      <c r="L85" s="26">
        <v>5</v>
      </c>
      <c r="M85" s="27">
        <v>4.62</v>
      </c>
      <c r="N85" s="28">
        <v>16.8</v>
      </c>
      <c r="O85" s="26">
        <f t="shared" si="16"/>
        <v>4</v>
      </c>
      <c r="P85" s="27">
        <f t="shared" si="17"/>
        <v>0</v>
      </c>
      <c r="Q85" s="27">
        <f t="shared" si="18"/>
        <v>5</v>
      </c>
      <c r="R85" s="28">
        <f t="shared" si="19"/>
        <v>0</v>
      </c>
      <c r="S85" s="1"/>
      <c r="T85" s="82">
        <f t="shared" si="20"/>
        <v>5.2696499999999995</v>
      </c>
      <c r="U85" s="27">
        <f t="shared" si="21"/>
        <v>0</v>
      </c>
      <c r="V85" s="27">
        <f t="shared" si="22"/>
        <v>5</v>
      </c>
      <c r="W85" s="28">
        <f t="shared" si="23"/>
        <v>0</v>
      </c>
      <c r="X85" s="1"/>
      <c r="Y85" s="1"/>
      <c r="Z85" s="1"/>
      <c r="AA85" s="1"/>
      <c r="AB85" s="1"/>
      <c r="AC85" s="1"/>
      <c r="AD85" s="1"/>
      <c r="AE85" s="1"/>
    </row>
    <row r="86" spans="2:31" ht="12.75">
      <c r="B86" s="1"/>
      <c r="F86" s="1"/>
      <c r="G86" s="1"/>
      <c r="H86" s="1"/>
      <c r="I86" s="1"/>
      <c r="J86" s="1"/>
      <c r="K86" s="1"/>
      <c r="L86" s="26">
        <v>6</v>
      </c>
      <c r="M86" s="27">
        <v>4.11</v>
      </c>
      <c r="N86" s="28">
        <v>13.3</v>
      </c>
      <c r="O86" s="26">
        <f t="shared" si="16"/>
        <v>4</v>
      </c>
      <c r="P86" s="27">
        <f t="shared" si="17"/>
        <v>0</v>
      </c>
      <c r="Q86" s="27">
        <f t="shared" si="18"/>
        <v>6</v>
      </c>
      <c r="R86" s="28">
        <f t="shared" si="19"/>
        <v>0</v>
      </c>
      <c r="S86" s="1"/>
      <c r="T86" s="82">
        <f t="shared" si="20"/>
        <v>5.2696499999999995</v>
      </c>
      <c r="U86" s="27">
        <f t="shared" si="21"/>
        <v>0</v>
      </c>
      <c r="V86" s="27">
        <f t="shared" si="22"/>
        <v>6</v>
      </c>
      <c r="W86" s="28">
        <f t="shared" si="23"/>
        <v>0</v>
      </c>
      <c r="X86" s="1"/>
      <c r="Y86" s="1"/>
      <c r="Z86" s="1"/>
      <c r="AA86" s="1"/>
      <c r="AB86" s="1"/>
      <c r="AC86" s="1"/>
      <c r="AD86" s="1"/>
      <c r="AE86" s="1"/>
    </row>
    <row r="87" spans="2:31" ht="12.75">
      <c r="B87" s="1"/>
      <c r="F87" s="1"/>
      <c r="G87" s="1"/>
      <c r="H87" s="1"/>
      <c r="I87" s="1"/>
      <c r="J87" s="1"/>
      <c r="K87" s="1"/>
      <c r="L87" s="26">
        <v>7</v>
      </c>
      <c r="M87" s="27">
        <v>3.67</v>
      </c>
      <c r="N87" s="28">
        <v>10.6</v>
      </c>
      <c r="O87" s="26">
        <f t="shared" si="16"/>
        <v>4</v>
      </c>
      <c r="P87" s="27">
        <f t="shared" si="17"/>
        <v>0</v>
      </c>
      <c r="Q87" s="27">
        <f t="shared" si="18"/>
        <v>7</v>
      </c>
      <c r="R87" s="28">
        <f t="shared" si="19"/>
        <v>0</v>
      </c>
      <c r="S87" s="1"/>
      <c r="T87" s="82">
        <f t="shared" si="20"/>
        <v>5.2696499999999995</v>
      </c>
      <c r="U87" s="27">
        <f t="shared" si="21"/>
        <v>0</v>
      </c>
      <c r="V87" s="27">
        <f t="shared" si="22"/>
        <v>7</v>
      </c>
      <c r="W87" s="28">
        <f t="shared" si="23"/>
        <v>0</v>
      </c>
      <c r="X87" s="1"/>
      <c r="Y87" s="1"/>
      <c r="Z87" s="1"/>
      <c r="AA87" s="1"/>
      <c r="AB87" s="1"/>
      <c r="AC87" s="1"/>
      <c r="AD87" s="1"/>
      <c r="AE87" s="1"/>
    </row>
    <row r="88" spans="2:31" ht="12.75">
      <c r="B88" s="1"/>
      <c r="F88" s="1"/>
      <c r="G88" s="1"/>
      <c r="H88" s="1"/>
      <c r="I88" s="1"/>
      <c r="J88" s="1"/>
      <c r="K88" s="1"/>
      <c r="L88" s="26">
        <v>8</v>
      </c>
      <c r="M88" s="27">
        <v>3.26</v>
      </c>
      <c r="N88" s="28">
        <v>8.35</v>
      </c>
      <c r="O88" s="26">
        <f t="shared" si="16"/>
        <v>4</v>
      </c>
      <c r="P88" s="27">
        <f t="shared" si="17"/>
        <v>0</v>
      </c>
      <c r="Q88" s="27">
        <f t="shared" si="18"/>
        <v>8</v>
      </c>
      <c r="R88" s="28">
        <f t="shared" si="19"/>
        <v>0</v>
      </c>
      <c r="S88" s="1"/>
      <c r="T88" s="82">
        <f t="shared" si="20"/>
        <v>5.2696499999999995</v>
      </c>
      <c r="U88" s="27">
        <f t="shared" si="21"/>
        <v>0</v>
      </c>
      <c r="V88" s="27">
        <f t="shared" si="22"/>
        <v>8</v>
      </c>
      <c r="W88" s="28">
        <f t="shared" si="23"/>
        <v>0</v>
      </c>
      <c r="X88" s="1"/>
      <c r="Y88" s="1"/>
      <c r="Z88" s="1"/>
      <c r="AA88" s="1"/>
      <c r="AB88" s="1"/>
      <c r="AC88" s="1"/>
      <c r="AD88" s="1"/>
      <c r="AE88" s="1"/>
    </row>
    <row r="89" spans="2:31" ht="12.75">
      <c r="B89" s="1"/>
      <c r="F89" s="1"/>
      <c r="G89" s="1"/>
      <c r="H89" s="1"/>
      <c r="I89" s="1"/>
      <c r="J89" s="1"/>
      <c r="K89" s="1"/>
      <c r="L89" s="26">
        <v>9</v>
      </c>
      <c r="M89" s="27">
        <v>2.91</v>
      </c>
      <c r="N89" s="28">
        <v>6.62</v>
      </c>
      <c r="O89" s="26">
        <f t="shared" si="16"/>
        <v>4</v>
      </c>
      <c r="P89" s="27">
        <f t="shared" si="17"/>
        <v>0</v>
      </c>
      <c r="Q89" s="27">
        <f t="shared" si="18"/>
        <v>9</v>
      </c>
      <c r="R89" s="28">
        <f t="shared" si="19"/>
        <v>0</v>
      </c>
      <c r="S89" s="1"/>
      <c r="T89" s="82">
        <f t="shared" si="20"/>
        <v>5.2696499999999995</v>
      </c>
      <c r="U89" s="27">
        <f t="shared" si="21"/>
        <v>0</v>
      </c>
      <c r="V89" s="27">
        <f t="shared" si="22"/>
        <v>9</v>
      </c>
      <c r="W89" s="28">
        <f t="shared" si="23"/>
        <v>0</v>
      </c>
      <c r="X89" s="1"/>
      <c r="Y89" s="1"/>
      <c r="Z89" s="1"/>
      <c r="AA89" s="1"/>
      <c r="AB89" s="1"/>
      <c r="AC89" s="1"/>
      <c r="AD89" s="1"/>
      <c r="AE89" s="1"/>
    </row>
    <row r="90" spans="2:31" ht="12.75">
      <c r="B90" s="1"/>
      <c r="F90" s="1"/>
      <c r="G90" s="1"/>
      <c r="H90" s="1"/>
      <c r="I90" s="1"/>
      <c r="J90" s="1"/>
      <c r="K90" s="1"/>
      <c r="L90" s="26">
        <v>10</v>
      </c>
      <c r="M90" s="27">
        <v>2.59</v>
      </c>
      <c r="N90" s="28">
        <v>5.27</v>
      </c>
      <c r="O90" s="26">
        <f t="shared" si="16"/>
        <v>4</v>
      </c>
      <c r="P90" s="27">
        <f t="shared" si="17"/>
        <v>0</v>
      </c>
      <c r="Q90" s="27">
        <f t="shared" si="18"/>
        <v>10</v>
      </c>
      <c r="R90" s="28">
        <f t="shared" si="19"/>
        <v>0</v>
      </c>
      <c r="S90" s="1"/>
      <c r="T90" s="82">
        <f t="shared" si="20"/>
        <v>5.2696499999999995</v>
      </c>
      <c r="U90" s="27">
        <f t="shared" si="21"/>
        <v>0</v>
      </c>
      <c r="V90" s="27">
        <f t="shared" si="22"/>
        <v>0</v>
      </c>
      <c r="W90" s="28">
        <f t="shared" si="23"/>
        <v>10</v>
      </c>
      <c r="X90" s="1"/>
      <c r="Y90" s="1"/>
      <c r="Z90" s="1"/>
      <c r="AA90" s="1"/>
      <c r="AB90" s="1"/>
      <c r="AC90" s="1"/>
      <c r="AD90" s="1"/>
      <c r="AE90" s="1"/>
    </row>
    <row r="91" spans="2:31" ht="12.75">
      <c r="B91" s="1"/>
      <c r="F91" s="1"/>
      <c r="G91" s="1"/>
      <c r="H91" s="1"/>
      <c r="I91" s="1"/>
      <c r="J91" s="1"/>
      <c r="K91" s="1"/>
      <c r="L91" s="26">
        <v>11</v>
      </c>
      <c r="M91" s="27">
        <v>2.3</v>
      </c>
      <c r="N91" s="28">
        <v>4.15</v>
      </c>
      <c r="O91" s="26">
        <f t="shared" si="16"/>
        <v>4</v>
      </c>
      <c r="P91" s="27">
        <f t="shared" si="17"/>
        <v>0</v>
      </c>
      <c r="Q91" s="27">
        <f t="shared" si="18"/>
        <v>0</v>
      </c>
      <c r="R91" s="28">
        <f t="shared" si="19"/>
        <v>11</v>
      </c>
      <c r="S91" s="1"/>
      <c r="T91" s="82">
        <f t="shared" si="20"/>
        <v>5.2696499999999995</v>
      </c>
      <c r="U91" s="27">
        <f t="shared" si="21"/>
        <v>11</v>
      </c>
      <c r="V91" s="27">
        <f t="shared" si="22"/>
        <v>0</v>
      </c>
      <c r="W91" s="28">
        <f t="shared" si="23"/>
        <v>0</v>
      </c>
      <c r="X91" s="1"/>
      <c r="Y91" s="1"/>
      <c r="Z91" s="1"/>
      <c r="AA91" s="1"/>
      <c r="AB91" s="1"/>
      <c r="AC91" s="1"/>
      <c r="AD91" s="1"/>
      <c r="AE91" s="1"/>
    </row>
    <row r="92" spans="2:31" ht="12.75">
      <c r="B92" s="1"/>
      <c r="F92" s="1"/>
      <c r="G92" s="1"/>
      <c r="H92" s="1"/>
      <c r="I92" s="1"/>
      <c r="J92" s="1"/>
      <c r="K92" s="1"/>
      <c r="L92" s="26">
        <v>12</v>
      </c>
      <c r="M92" s="27">
        <v>2.05</v>
      </c>
      <c r="N92" s="28">
        <v>3.31</v>
      </c>
      <c r="O92" s="26">
        <f t="shared" si="16"/>
        <v>4</v>
      </c>
      <c r="P92" s="27">
        <f t="shared" si="17"/>
        <v>12</v>
      </c>
      <c r="Q92" s="27">
        <f t="shared" si="18"/>
        <v>0</v>
      </c>
      <c r="R92" s="28">
        <f t="shared" si="19"/>
        <v>0</v>
      </c>
      <c r="S92" s="1"/>
      <c r="T92" s="82">
        <f t="shared" si="20"/>
        <v>5.2696499999999995</v>
      </c>
      <c r="U92" s="27">
        <f t="shared" si="21"/>
        <v>12</v>
      </c>
      <c r="V92" s="27">
        <f t="shared" si="22"/>
        <v>0</v>
      </c>
      <c r="W92" s="28">
        <f t="shared" si="23"/>
        <v>0</v>
      </c>
      <c r="X92" s="1"/>
      <c r="Y92" s="1"/>
      <c r="Z92" s="1"/>
      <c r="AA92" s="1"/>
      <c r="AB92" s="1"/>
      <c r="AC92" s="1"/>
      <c r="AD92" s="1"/>
      <c r="AE92" s="1"/>
    </row>
    <row r="93" spans="2:31" ht="12.75">
      <c r="B93" s="1"/>
      <c r="F93" s="1"/>
      <c r="G93" s="1"/>
      <c r="H93" s="1"/>
      <c r="I93" s="1"/>
      <c r="J93" s="1"/>
      <c r="K93" s="1"/>
      <c r="L93" s="26">
        <v>13</v>
      </c>
      <c r="M93" s="27">
        <v>1.83</v>
      </c>
      <c r="N93" s="28">
        <v>2.63</v>
      </c>
      <c r="O93" s="26">
        <f t="shared" si="16"/>
        <v>4</v>
      </c>
      <c r="P93" s="27">
        <f t="shared" si="17"/>
        <v>13</v>
      </c>
      <c r="Q93" s="27">
        <f t="shared" si="18"/>
        <v>0</v>
      </c>
      <c r="R93" s="28">
        <f t="shared" si="19"/>
        <v>0</v>
      </c>
      <c r="S93" s="1"/>
      <c r="T93" s="82">
        <f t="shared" si="20"/>
        <v>5.2696499999999995</v>
      </c>
      <c r="U93" s="27">
        <f t="shared" si="21"/>
        <v>13</v>
      </c>
      <c r="V93" s="27">
        <f t="shared" si="22"/>
        <v>0</v>
      </c>
      <c r="W93" s="28">
        <f t="shared" si="23"/>
        <v>0</v>
      </c>
      <c r="X93" s="1"/>
      <c r="Y93" s="1"/>
      <c r="Z93" s="1"/>
      <c r="AA93" s="1"/>
      <c r="AB93" s="1"/>
      <c r="AC93" s="1"/>
      <c r="AD93" s="1"/>
      <c r="AE93" s="1"/>
    </row>
    <row r="94" spans="2:31" ht="12.75">
      <c r="B94" s="1"/>
      <c r="F94" s="1"/>
      <c r="G94" s="1"/>
      <c r="H94" s="1"/>
      <c r="I94" s="1"/>
      <c r="J94" s="1"/>
      <c r="K94" s="1"/>
      <c r="L94" s="26">
        <v>14</v>
      </c>
      <c r="M94" s="27">
        <v>1.62</v>
      </c>
      <c r="N94" s="28">
        <v>2.08</v>
      </c>
      <c r="O94" s="26">
        <f t="shared" si="16"/>
        <v>4</v>
      </c>
      <c r="P94" s="27">
        <f t="shared" si="17"/>
        <v>14</v>
      </c>
      <c r="Q94" s="27">
        <f t="shared" si="18"/>
        <v>0</v>
      </c>
      <c r="R94" s="28">
        <f t="shared" si="19"/>
        <v>0</v>
      </c>
      <c r="S94" s="1"/>
      <c r="T94" s="82">
        <f t="shared" si="20"/>
        <v>5.2696499999999995</v>
      </c>
      <c r="U94" s="27">
        <f t="shared" si="21"/>
        <v>14</v>
      </c>
      <c r="V94" s="27">
        <f t="shared" si="22"/>
        <v>0</v>
      </c>
      <c r="W94" s="28">
        <f t="shared" si="23"/>
        <v>0</v>
      </c>
      <c r="X94" s="1"/>
      <c r="Y94" s="1"/>
      <c r="Z94" s="1"/>
      <c r="AA94" s="1"/>
      <c r="AB94" s="1"/>
      <c r="AC94" s="1"/>
      <c r="AD94" s="1"/>
      <c r="AE94" s="1"/>
    </row>
    <row r="95" spans="2:31" ht="12.75">
      <c r="B95" s="1"/>
      <c r="F95" s="1"/>
      <c r="G95" s="1"/>
      <c r="H95" s="1"/>
      <c r="I95" s="1"/>
      <c r="J95" s="1"/>
      <c r="K95" s="1"/>
      <c r="L95" s="26">
        <v>15</v>
      </c>
      <c r="M95" s="27">
        <v>1.45</v>
      </c>
      <c r="N95" s="28">
        <v>1.65</v>
      </c>
      <c r="O95" s="26">
        <f t="shared" si="16"/>
        <v>4</v>
      </c>
      <c r="P95" s="27">
        <f t="shared" si="17"/>
        <v>15</v>
      </c>
      <c r="Q95" s="27">
        <f t="shared" si="18"/>
        <v>0</v>
      </c>
      <c r="R95" s="28">
        <f t="shared" si="19"/>
        <v>0</v>
      </c>
      <c r="S95" s="1"/>
      <c r="T95" s="82">
        <f t="shared" si="20"/>
        <v>5.2696499999999995</v>
      </c>
      <c r="U95" s="27">
        <f t="shared" si="21"/>
        <v>15</v>
      </c>
      <c r="V95" s="27">
        <f t="shared" si="22"/>
        <v>0</v>
      </c>
      <c r="W95" s="28">
        <f t="shared" si="23"/>
        <v>0</v>
      </c>
      <c r="X95" s="1"/>
      <c r="Y95" s="1"/>
      <c r="Z95" s="1"/>
      <c r="AA95" s="1"/>
      <c r="AB95" s="1"/>
      <c r="AC95" s="1"/>
      <c r="AD95" s="1"/>
      <c r="AE95" s="1"/>
    </row>
    <row r="96" spans="2:31" ht="12.75">
      <c r="B96" s="1"/>
      <c r="F96" s="1"/>
      <c r="G96" s="1"/>
      <c r="H96" s="1"/>
      <c r="I96" s="1"/>
      <c r="J96" s="1"/>
      <c r="K96" s="1"/>
      <c r="L96" s="26">
        <v>16</v>
      </c>
      <c r="M96" s="27">
        <v>1.29</v>
      </c>
      <c r="N96" s="28">
        <v>1.31</v>
      </c>
      <c r="O96" s="26">
        <f t="shared" si="16"/>
        <v>4</v>
      </c>
      <c r="P96" s="27">
        <f t="shared" si="17"/>
        <v>16</v>
      </c>
      <c r="Q96" s="27">
        <f t="shared" si="18"/>
        <v>0</v>
      </c>
      <c r="R96" s="28">
        <f t="shared" si="19"/>
        <v>0</v>
      </c>
      <c r="S96" s="1"/>
      <c r="T96" s="82">
        <f t="shared" si="20"/>
        <v>5.2696499999999995</v>
      </c>
      <c r="U96" s="27">
        <f t="shared" si="21"/>
        <v>16</v>
      </c>
      <c r="V96" s="27">
        <f t="shared" si="22"/>
        <v>0</v>
      </c>
      <c r="W96" s="28">
        <f t="shared" si="23"/>
        <v>0</v>
      </c>
      <c r="X96" s="1"/>
      <c r="Y96" s="1"/>
      <c r="Z96" s="1"/>
      <c r="AA96" s="1"/>
      <c r="AB96" s="1"/>
      <c r="AC96" s="1"/>
      <c r="AD96" s="1"/>
      <c r="AE96" s="1"/>
    </row>
    <row r="97" spans="2:31" ht="12.75">
      <c r="B97" s="1"/>
      <c r="F97" s="1"/>
      <c r="G97" s="1"/>
      <c r="H97" s="1"/>
      <c r="I97" s="1"/>
      <c r="J97" s="1"/>
      <c r="K97" s="1"/>
      <c r="L97" s="26">
        <v>17</v>
      </c>
      <c r="M97" s="27">
        <v>1.15</v>
      </c>
      <c r="N97" s="28">
        <v>1.04</v>
      </c>
      <c r="O97" s="26">
        <f t="shared" si="16"/>
        <v>4</v>
      </c>
      <c r="P97" s="27">
        <f t="shared" si="17"/>
        <v>17</v>
      </c>
      <c r="Q97" s="27">
        <f t="shared" si="18"/>
        <v>0</v>
      </c>
      <c r="R97" s="28">
        <f t="shared" si="19"/>
        <v>0</v>
      </c>
      <c r="S97" s="1"/>
      <c r="T97" s="82">
        <f t="shared" si="20"/>
        <v>5.2696499999999995</v>
      </c>
      <c r="U97" s="27">
        <f t="shared" si="21"/>
        <v>17</v>
      </c>
      <c r="V97" s="27">
        <f t="shared" si="22"/>
        <v>0</v>
      </c>
      <c r="W97" s="28">
        <f t="shared" si="23"/>
        <v>0</v>
      </c>
      <c r="X97" s="1"/>
      <c r="Y97" s="1"/>
      <c r="Z97" s="1"/>
      <c r="AA97" s="1"/>
      <c r="AB97" s="1"/>
      <c r="AC97" s="1"/>
      <c r="AD97" s="1"/>
      <c r="AE97" s="1"/>
    </row>
    <row r="98" spans="2:31" ht="12.75">
      <c r="B98" s="1"/>
      <c r="F98" s="1"/>
      <c r="G98" s="1"/>
      <c r="H98" s="1"/>
      <c r="I98" s="1"/>
      <c r="J98" s="1"/>
      <c r="K98" s="1"/>
      <c r="L98" s="26">
        <v>18</v>
      </c>
      <c r="M98" s="27">
        <v>1.024</v>
      </c>
      <c r="N98" s="28">
        <v>0.823</v>
      </c>
      <c r="O98" s="26">
        <f t="shared" si="16"/>
        <v>4</v>
      </c>
      <c r="P98" s="27">
        <f t="shared" si="17"/>
        <v>18</v>
      </c>
      <c r="Q98" s="27">
        <f t="shared" si="18"/>
        <v>0</v>
      </c>
      <c r="R98" s="28">
        <f t="shared" si="19"/>
        <v>0</v>
      </c>
      <c r="S98" s="1"/>
      <c r="T98" s="82">
        <f t="shared" si="20"/>
        <v>5.2696499999999995</v>
      </c>
      <c r="U98" s="27">
        <f t="shared" si="21"/>
        <v>18</v>
      </c>
      <c r="V98" s="27">
        <f t="shared" si="22"/>
        <v>0</v>
      </c>
      <c r="W98" s="28">
        <f t="shared" si="23"/>
        <v>0</v>
      </c>
      <c r="X98" s="1"/>
      <c r="Y98" s="1"/>
      <c r="Z98" s="1"/>
      <c r="AA98" s="1"/>
      <c r="AB98" s="1"/>
      <c r="AC98" s="1"/>
      <c r="AD98" s="1"/>
      <c r="AE98" s="1"/>
    </row>
    <row r="99" spans="2:31" ht="12.75">
      <c r="B99" s="1"/>
      <c r="F99" s="1"/>
      <c r="G99" s="1"/>
      <c r="H99" s="1"/>
      <c r="I99" s="1"/>
      <c r="J99" s="1"/>
      <c r="K99" s="1"/>
      <c r="L99" s="26">
        <v>19</v>
      </c>
      <c r="M99" s="27">
        <v>0.912</v>
      </c>
      <c r="N99" s="28">
        <v>0.653</v>
      </c>
      <c r="O99" s="26">
        <f t="shared" si="16"/>
        <v>4</v>
      </c>
      <c r="P99" s="27">
        <f t="shared" si="17"/>
        <v>19</v>
      </c>
      <c r="Q99" s="27">
        <f t="shared" si="18"/>
        <v>0</v>
      </c>
      <c r="R99" s="28">
        <f t="shared" si="19"/>
        <v>0</v>
      </c>
      <c r="S99" s="1"/>
      <c r="T99" s="82">
        <f t="shared" si="20"/>
        <v>5.2696499999999995</v>
      </c>
      <c r="U99" s="27">
        <f t="shared" si="21"/>
        <v>19</v>
      </c>
      <c r="V99" s="27">
        <f t="shared" si="22"/>
        <v>0</v>
      </c>
      <c r="W99" s="28">
        <f t="shared" si="23"/>
        <v>0</v>
      </c>
      <c r="X99" s="1"/>
      <c r="Y99" s="1"/>
      <c r="Z99" s="1"/>
      <c r="AA99" s="1"/>
      <c r="AB99" s="1"/>
      <c r="AC99" s="1"/>
      <c r="AD99" s="1"/>
      <c r="AE99" s="1"/>
    </row>
    <row r="100" spans="2:31" ht="12.75">
      <c r="B100" s="1"/>
      <c r="F100" s="1"/>
      <c r="G100" s="1"/>
      <c r="H100" s="1"/>
      <c r="I100" s="1"/>
      <c r="J100" s="1"/>
      <c r="K100" s="1"/>
      <c r="L100" s="26">
        <v>20</v>
      </c>
      <c r="M100" s="27">
        <v>0.812</v>
      </c>
      <c r="N100" s="28">
        <v>0.519</v>
      </c>
      <c r="O100" s="26">
        <f t="shared" si="16"/>
        <v>4</v>
      </c>
      <c r="P100" s="27">
        <f t="shared" si="17"/>
        <v>20</v>
      </c>
      <c r="Q100" s="27">
        <f t="shared" si="18"/>
        <v>0</v>
      </c>
      <c r="R100" s="28">
        <f>IF((P100+Q100)=0,L100,0)</f>
        <v>0</v>
      </c>
      <c r="S100" s="1"/>
      <c r="T100" s="82">
        <f t="shared" si="20"/>
        <v>5.2696499999999995</v>
      </c>
      <c r="U100" s="27">
        <f t="shared" si="21"/>
        <v>20</v>
      </c>
      <c r="V100" s="27">
        <f t="shared" si="22"/>
        <v>0</v>
      </c>
      <c r="W100" s="28">
        <f t="shared" si="23"/>
        <v>0</v>
      </c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1"/>
      <c r="F101" s="1"/>
      <c r="G101" s="1"/>
      <c r="H101" s="1"/>
      <c r="I101" s="1"/>
      <c r="J101" s="1"/>
      <c r="K101" s="1"/>
      <c r="L101" s="26">
        <v>21</v>
      </c>
      <c r="M101" s="27">
        <v>0.723</v>
      </c>
      <c r="N101" s="28">
        <v>0.412</v>
      </c>
      <c r="O101" s="26">
        <f t="shared" si="16"/>
        <v>4</v>
      </c>
      <c r="P101" s="27">
        <f t="shared" si="17"/>
        <v>21</v>
      </c>
      <c r="Q101" s="27">
        <f t="shared" si="18"/>
        <v>0</v>
      </c>
      <c r="R101" s="28">
        <f aca="true" t="shared" si="24" ref="R101:R110">IF((P101+Q101)=0,L101,0)</f>
        <v>0</v>
      </c>
      <c r="S101" s="1"/>
      <c r="T101" s="82">
        <f t="shared" si="20"/>
        <v>5.2696499999999995</v>
      </c>
      <c r="U101" s="27">
        <f t="shared" si="21"/>
        <v>21</v>
      </c>
      <c r="V101" s="27">
        <f t="shared" si="22"/>
        <v>0</v>
      </c>
      <c r="W101" s="28">
        <f t="shared" si="23"/>
        <v>0</v>
      </c>
      <c r="X101" s="1"/>
      <c r="Y101" s="1"/>
      <c r="Z101" s="1"/>
      <c r="AA101" s="1"/>
      <c r="AB101" s="1"/>
      <c r="AC101" s="1"/>
      <c r="AD101" s="1"/>
      <c r="AE101" s="1"/>
    </row>
    <row r="102" spans="2:31" ht="12.75">
      <c r="B102" s="1"/>
      <c r="F102" s="1"/>
      <c r="G102" s="1"/>
      <c r="H102" s="1"/>
      <c r="I102" s="1"/>
      <c r="J102" s="1"/>
      <c r="K102" s="1"/>
      <c r="L102" s="26">
        <v>22</v>
      </c>
      <c r="M102" s="27">
        <v>0.644</v>
      </c>
      <c r="N102" s="28">
        <v>0.325</v>
      </c>
      <c r="O102" s="26">
        <f t="shared" si="16"/>
        <v>4</v>
      </c>
      <c r="P102" s="27">
        <f t="shared" si="17"/>
        <v>22</v>
      </c>
      <c r="Q102" s="27">
        <f t="shared" si="18"/>
        <v>0</v>
      </c>
      <c r="R102" s="28">
        <f t="shared" si="24"/>
        <v>0</v>
      </c>
      <c r="S102" s="1"/>
      <c r="T102" s="82">
        <f t="shared" si="20"/>
        <v>5.2696499999999995</v>
      </c>
      <c r="U102" s="27">
        <f t="shared" si="21"/>
        <v>22</v>
      </c>
      <c r="V102" s="27">
        <f t="shared" si="22"/>
        <v>0</v>
      </c>
      <c r="W102" s="28">
        <f t="shared" si="23"/>
        <v>0</v>
      </c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1"/>
      <c r="F103" s="1"/>
      <c r="G103" s="1"/>
      <c r="H103" s="1"/>
      <c r="I103" s="1"/>
      <c r="J103" s="1"/>
      <c r="K103" s="1"/>
      <c r="L103" s="26">
        <v>23</v>
      </c>
      <c r="M103" s="27">
        <v>0.573</v>
      </c>
      <c r="N103" s="28">
        <v>0.259</v>
      </c>
      <c r="O103" s="26">
        <f t="shared" si="16"/>
        <v>4</v>
      </c>
      <c r="P103" s="27">
        <f t="shared" si="17"/>
        <v>23</v>
      </c>
      <c r="Q103" s="27">
        <f t="shared" si="18"/>
        <v>0</v>
      </c>
      <c r="R103" s="28">
        <f t="shared" si="24"/>
        <v>0</v>
      </c>
      <c r="S103" s="1"/>
      <c r="T103" s="82">
        <f t="shared" si="20"/>
        <v>5.2696499999999995</v>
      </c>
      <c r="U103" s="27">
        <f t="shared" si="21"/>
        <v>23</v>
      </c>
      <c r="V103" s="27">
        <f t="shared" si="22"/>
        <v>0</v>
      </c>
      <c r="W103" s="28">
        <f t="shared" si="23"/>
        <v>0</v>
      </c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1"/>
      <c r="F104" s="1"/>
      <c r="G104" s="1"/>
      <c r="H104" s="1"/>
      <c r="I104" s="1"/>
      <c r="J104" s="1"/>
      <c r="K104" s="1"/>
      <c r="L104" s="26">
        <v>24</v>
      </c>
      <c r="M104" s="27">
        <v>0.511</v>
      </c>
      <c r="N104" s="28">
        <v>0.205</v>
      </c>
      <c r="O104" s="26">
        <f t="shared" si="16"/>
        <v>4</v>
      </c>
      <c r="P104" s="27">
        <f t="shared" si="17"/>
        <v>24</v>
      </c>
      <c r="Q104" s="27">
        <f t="shared" si="18"/>
        <v>0</v>
      </c>
      <c r="R104" s="28">
        <f t="shared" si="24"/>
        <v>0</v>
      </c>
      <c r="S104" s="1"/>
      <c r="T104" s="82">
        <f t="shared" si="20"/>
        <v>5.2696499999999995</v>
      </c>
      <c r="U104" s="27">
        <f t="shared" si="21"/>
        <v>24</v>
      </c>
      <c r="V104" s="27">
        <f t="shared" si="22"/>
        <v>0</v>
      </c>
      <c r="W104" s="28">
        <f t="shared" si="23"/>
        <v>0</v>
      </c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1"/>
      <c r="F105" s="1"/>
      <c r="G105" s="1"/>
      <c r="H105" s="1"/>
      <c r="I105" s="1"/>
      <c r="J105" s="1"/>
      <c r="K105" s="1"/>
      <c r="L105" s="26">
        <v>25</v>
      </c>
      <c r="M105" s="27">
        <v>0.455</v>
      </c>
      <c r="N105" s="28">
        <v>0.163</v>
      </c>
      <c r="O105" s="26">
        <f t="shared" si="16"/>
        <v>4</v>
      </c>
      <c r="P105" s="27">
        <f t="shared" si="17"/>
        <v>25</v>
      </c>
      <c r="Q105" s="27">
        <f t="shared" si="18"/>
        <v>0</v>
      </c>
      <c r="R105" s="28">
        <f t="shared" si="24"/>
        <v>0</v>
      </c>
      <c r="S105" s="1"/>
      <c r="T105" s="82">
        <f t="shared" si="20"/>
        <v>5.2696499999999995</v>
      </c>
      <c r="U105" s="27">
        <f t="shared" si="21"/>
        <v>25</v>
      </c>
      <c r="V105" s="27">
        <f t="shared" si="22"/>
        <v>0</v>
      </c>
      <c r="W105" s="28">
        <f t="shared" si="23"/>
        <v>0</v>
      </c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1"/>
      <c r="F106" s="1"/>
      <c r="G106" s="1"/>
      <c r="H106" s="1"/>
      <c r="I106" s="1"/>
      <c r="J106" s="1"/>
      <c r="K106" s="1"/>
      <c r="L106" s="26">
        <v>26</v>
      </c>
      <c r="M106" s="27">
        <v>0.405</v>
      </c>
      <c r="N106" s="28">
        <v>0.128</v>
      </c>
      <c r="O106" s="26">
        <f t="shared" si="16"/>
        <v>4</v>
      </c>
      <c r="P106" s="27">
        <f t="shared" si="17"/>
        <v>26</v>
      </c>
      <c r="Q106" s="27">
        <f t="shared" si="18"/>
        <v>0</v>
      </c>
      <c r="R106" s="28">
        <f t="shared" si="24"/>
        <v>0</v>
      </c>
      <c r="S106" s="1"/>
      <c r="T106" s="82">
        <f t="shared" si="20"/>
        <v>5.2696499999999995</v>
      </c>
      <c r="U106" s="27">
        <f t="shared" si="21"/>
        <v>26</v>
      </c>
      <c r="V106" s="27">
        <f t="shared" si="22"/>
        <v>0</v>
      </c>
      <c r="W106" s="28">
        <f t="shared" si="23"/>
        <v>0</v>
      </c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1"/>
      <c r="F107" s="1"/>
      <c r="G107" s="1"/>
      <c r="H107" s="1"/>
      <c r="I107" s="1"/>
      <c r="J107" s="1"/>
      <c r="K107" s="1"/>
      <c r="L107" s="26">
        <v>27</v>
      </c>
      <c r="M107" s="27">
        <v>0.361</v>
      </c>
      <c r="N107" s="28">
        <v>0.102</v>
      </c>
      <c r="O107" s="26">
        <f t="shared" si="16"/>
        <v>4</v>
      </c>
      <c r="P107" s="27">
        <f t="shared" si="17"/>
        <v>27</v>
      </c>
      <c r="Q107" s="27">
        <f t="shared" si="18"/>
        <v>0</v>
      </c>
      <c r="R107" s="28">
        <f t="shared" si="24"/>
        <v>0</v>
      </c>
      <c r="S107" s="1"/>
      <c r="T107" s="82">
        <f t="shared" si="20"/>
        <v>5.2696499999999995</v>
      </c>
      <c r="U107" s="27">
        <f t="shared" si="21"/>
        <v>27</v>
      </c>
      <c r="V107" s="27">
        <f t="shared" si="22"/>
        <v>0</v>
      </c>
      <c r="W107" s="28">
        <f t="shared" si="23"/>
        <v>0</v>
      </c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1"/>
      <c r="F108" s="1"/>
      <c r="G108" s="1"/>
      <c r="H108" s="1"/>
      <c r="I108" s="1"/>
      <c r="J108" s="1"/>
      <c r="K108" s="1"/>
      <c r="L108" s="26">
        <v>28</v>
      </c>
      <c r="M108" s="27">
        <v>0.321</v>
      </c>
      <c r="N108" s="28">
        <v>0.0804</v>
      </c>
      <c r="O108" s="26">
        <f t="shared" si="16"/>
        <v>4</v>
      </c>
      <c r="P108" s="27">
        <f t="shared" si="17"/>
        <v>28</v>
      </c>
      <c r="Q108" s="27">
        <f t="shared" si="18"/>
        <v>0</v>
      </c>
      <c r="R108" s="28">
        <f t="shared" si="24"/>
        <v>0</v>
      </c>
      <c r="S108" s="1"/>
      <c r="T108" s="82">
        <f t="shared" si="20"/>
        <v>5.2696499999999995</v>
      </c>
      <c r="U108" s="27">
        <f t="shared" si="21"/>
        <v>28</v>
      </c>
      <c r="V108" s="27">
        <f t="shared" si="22"/>
        <v>0</v>
      </c>
      <c r="W108" s="28">
        <f t="shared" si="23"/>
        <v>0</v>
      </c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F109" s="1"/>
      <c r="G109" s="1"/>
      <c r="H109" s="1"/>
      <c r="I109" s="1"/>
      <c r="J109" s="1"/>
      <c r="K109" s="1"/>
      <c r="L109" s="26">
        <v>29</v>
      </c>
      <c r="M109" s="27">
        <v>0.286</v>
      </c>
      <c r="N109" s="28">
        <v>0.0646</v>
      </c>
      <c r="O109" s="26">
        <f t="shared" si="16"/>
        <v>4</v>
      </c>
      <c r="P109" s="27">
        <f t="shared" si="17"/>
        <v>29</v>
      </c>
      <c r="Q109" s="27">
        <f t="shared" si="18"/>
        <v>0</v>
      </c>
      <c r="R109" s="28">
        <f t="shared" si="24"/>
        <v>0</v>
      </c>
      <c r="S109" s="1"/>
      <c r="T109" s="82">
        <f t="shared" si="20"/>
        <v>5.2696499999999995</v>
      </c>
      <c r="U109" s="27">
        <f t="shared" si="21"/>
        <v>29</v>
      </c>
      <c r="V109" s="27">
        <f t="shared" si="22"/>
        <v>0</v>
      </c>
      <c r="W109" s="28">
        <f t="shared" si="23"/>
        <v>0</v>
      </c>
      <c r="X109" s="1"/>
      <c r="Y109" s="1"/>
      <c r="Z109" s="1"/>
      <c r="AA109" s="1"/>
      <c r="AB109" s="1"/>
      <c r="AC109" s="1"/>
      <c r="AD109" s="1"/>
      <c r="AE109" s="1"/>
    </row>
    <row r="110" spans="2:31" ht="13.5" thickBot="1">
      <c r="B110" s="1"/>
      <c r="F110" s="1"/>
      <c r="G110" s="1"/>
      <c r="H110" s="1"/>
      <c r="I110" s="1"/>
      <c r="J110" s="1"/>
      <c r="K110" s="1"/>
      <c r="L110" s="29">
        <v>30</v>
      </c>
      <c r="M110" s="30">
        <v>0.255</v>
      </c>
      <c r="N110" s="31">
        <v>0.0503</v>
      </c>
      <c r="O110" s="29">
        <f t="shared" si="16"/>
        <v>4</v>
      </c>
      <c r="P110" s="30">
        <f t="shared" si="17"/>
        <v>30</v>
      </c>
      <c r="Q110" s="30">
        <f t="shared" si="18"/>
        <v>0</v>
      </c>
      <c r="R110" s="31">
        <f t="shared" si="24"/>
        <v>0</v>
      </c>
      <c r="S110" s="1"/>
      <c r="T110" s="82">
        <f t="shared" si="20"/>
        <v>5.2696499999999995</v>
      </c>
      <c r="U110" s="27">
        <f t="shared" si="21"/>
        <v>30</v>
      </c>
      <c r="V110" s="27">
        <f t="shared" si="22"/>
        <v>0</v>
      </c>
      <c r="W110" s="28">
        <f t="shared" si="23"/>
        <v>0</v>
      </c>
      <c r="X110" s="1"/>
      <c r="Y110" s="1"/>
      <c r="Z110" s="1"/>
      <c r="AA110" s="1"/>
      <c r="AB110" s="1"/>
      <c r="AC110" s="1"/>
      <c r="AD110" s="1"/>
      <c r="AE110" s="1"/>
    </row>
    <row r="111" spans="2:31" ht="13.5" thickBot="1">
      <c r="B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3.5" thickBot="1">
      <c r="B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64" t="s">
        <v>5</v>
      </c>
      <c r="R112" s="63">
        <f>SUM(R81:R110)</f>
        <v>11</v>
      </c>
      <c r="S112" s="1"/>
      <c r="T112" s="1"/>
      <c r="U112" s="1"/>
      <c r="V112" s="42" t="s">
        <v>5</v>
      </c>
      <c r="W112" s="62">
        <f>SUM(W81:W110)</f>
        <v>10</v>
      </c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2.75">
      <c r="B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2.75">
      <c r="B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2.75">
      <c r="B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2.75">
      <c r="B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2.75">
      <c r="B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2.75">
      <c r="B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2.75">
      <c r="B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2.75">
      <c r="B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2.75">
      <c r="B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2.75">
      <c r="B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2.75">
      <c r="B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2.75">
      <c r="B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</sheetData>
  <sheetProtection sheet="1" objects="1" scenarios="1"/>
  <printOptions gridLines="1"/>
  <pageMargins left="0.75" right="0.75" top="1" bottom="1" header="0.511811023" footer="0.511811023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Cables &amp; Power</dc:title>
  <dc:subject>Querschnittberechnung f. LS-Kabel</dc:subject>
  <dc:creator>Peter Hallstein</dc:creator>
  <cp:keywords/>
  <dc:description/>
  <cp:lastModifiedBy>Volker Loewer</cp:lastModifiedBy>
  <dcterms:created xsi:type="dcterms:W3CDTF">2001-02-21T13:18:47Z</dcterms:created>
  <dcterms:modified xsi:type="dcterms:W3CDTF">2002-03-26T12:00:12Z</dcterms:modified>
  <cp:category/>
  <cp:version/>
  <cp:contentType/>
  <cp:contentStatus/>
</cp:coreProperties>
</file>